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tarrejo\Downloads\"/>
    </mc:Choice>
  </mc:AlternateContent>
  <xr:revisionPtr revIDLastSave="0" documentId="13_ncr:1_{EA3DA2CA-BA65-4B43-B42B-6714DF6CC11E}" xr6:coauthVersionLast="47" xr6:coauthVersionMax="47" xr10:uidLastSave="{00000000-0000-0000-0000-000000000000}"/>
  <workbookProtection workbookAlgorithmName="SHA-512" workbookHashValue="C8msm5zKwRiW26UzXAfURwyD1HrhAP3i2gdTIl0/vRlnOxHVLuMyAsQsp1HD0kF71cEH7lpG2PcZ0mxES10mPQ==" workbookSaltValue="t2d3L3JUZpeldWae/Gi8vw==" workbookSpinCount="100000" lockStructure="1"/>
  <bookViews>
    <workbookView xWindow="69720" yWindow="-120" windowWidth="29040" windowHeight="15840" tabRatio="717" firstSheet="2" activeTab="3" xr2:uid="{00000000-000D-0000-FFFF-FFFF00000000}"/>
  </bookViews>
  <sheets>
    <sheet name="ERA Terrestrial -Phase I" sheetId="12" r:id="rId1"/>
    <sheet name="ERA Terrestrial -Phase II" sheetId="15" r:id="rId2"/>
    <sheet name="ERA Aquaculture" sheetId="14" r:id="rId3"/>
    <sheet name="Secondary Poisoning" sheetId="16" r:id="rId4"/>
  </sheets>
  <definedNames>
    <definedName name="AF">'Secondary Poisoning'!$C$5</definedName>
    <definedName name="BCFfish">'Secondary Poisoning'!$C$15</definedName>
    <definedName name="BCFworm">'Secondary Poisoning'!$C$24</definedName>
    <definedName name="BMF">'Secondary Poisoning'!$C$13</definedName>
    <definedName name="CONVsoil">'Secondary Poisoning'!$C$19</definedName>
    <definedName name="CV">'Secondary Poisoning'!$C$4</definedName>
    <definedName name="Fgut">'Secondary Poisoning'!$C$18</definedName>
    <definedName name="Kow">'Secondary Poisoning'!$C$12</definedName>
    <definedName name="logBCFfish">'Secondary Poisoning'!$C$14</definedName>
    <definedName name="LogKow">'Secondary Poisoning'!$C$2</definedName>
    <definedName name="NOAEL">'Secondary Poisoning'!$C$3</definedName>
    <definedName name="NOEC">'Secondary Poisoning'!$C$10</definedName>
    <definedName name="PECfish_oral_pred">'Secondary Poisoning'!$C$16</definedName>
    <definedName name="PECpw">'Secondary Poisoning'!$C$7</definedName>
    <definedName name="PECsoil">'Secondary Poisoning'!$C$8</definedName>
    <definedName name="PECsw">'Secondary Poisoning'!$C$6</definedName>
    <definedName name="PECworm_oral_pred">'Secondary Poisoning'!$C$25</definedName>
    <definedName name="PNECoral">'Secondary Poisoning'!$C$11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16" l="1"/>
  <c r="C14" i="16"/>
  <c r="C15" i="16" s="1"/>
  <c r="C13" i="16"/>
  <c r="C12" i="16"/>
  <c r="C24" i="16" s="1"/>
  <c r="C25" i="16" s="1"/>
  <c r="C5" i="16"/>
  <c r="C4" i="16"/>
  <c r="C10" i="16" s="1"/>
  <c r="C11" i="16" l="1"/>
  <c r="C26" i="16" s="1"/>
  <c r="C16" i="16"/>
  <c r="G10" i="14"/>
  <c r="C17" i="16" l="1"/>
  <c r="C6" i="15"/>
  <c r="C2" i="15"/>
  <c r="D15" i="12" l="1"/>
  <c r="E15" i="12"/>
  <c r="F15" i="12"/>
  <c r="G15" i="12"/>
  <c r="H15" i="12"/>
  <c r="I15" i="12"/>
  <c r="J15" i="12"/>
  <c r="K15" i="12"/>
  <c r="L15" i="12"/>
  <c r="M15" i="12"/>
  <c r="N15" i="12"/>
  <c r="O15" i="12"/>
  <c r="P15" i="12"/>
  <c r="Q15" i="12"/>
  <c r="R15" i="12"/>
  <c r="S15" i="12"/>
  <c r="C15" i="12"/>
  <c r="C5" i="15"/>
  <c r="M3" i="15" s="1"/>
  <c r="C4" i="15"/>
  <c r="S15" i="15"/>
  <c r="S32" i="15" s="1"/>
  <c r="R15" i="15"/>
  <c r="Q15" i="15"/>
  <c r="Q32" i="15" s="1"/>
  <c r="P15" i="15"/>
  <c r="P32" i="15" s="1"/>
  <c r="O15" i="15"/>
  <c r="O32" i="15" s="1"/>
  <c r="N15" i="15"/>
  <c r="M15" i="15"/>
  <c r="M32" i="15" s="1"/>
  <c r="L15" i="15"/>
  <c r="L32" i="15" s="1"/>
  <c r="K15" i="15"/>
  <c r="K32" i="15" s="1"/>
  <c r="J15" i="15"/>
  <c r="I15" i="15"/>
  <c r="I32" i="15" s="1"/>
  <c r="H15" i="15"/>
  <c r="H32" i="15" s="1"/>
  <c r="G15" i="15"/>
  <c r="G32" i="15" s="1"/>
  <c r="F15" i="15"/>
  <c r="E15" i="15"/>
  <c r="E32" i="15" s="1"/>
  <c r="D15" i="15"/>
  <c r="D32" i="15" s="1"/>
  <c r="C15" i="15"/>
  <c r="C32" i="15" s="1"/>
  <c r="F33" i="15" l="1"/>
  <c r="F32" i="15"/>
  <c r="J33" i="15"/>
  <c r="J32" i="15"/>
  <c r="N33" i="15"/>
  <c r="N32" i="15"/>
  <c r="R33" i="15"/>
  <c r="R32" i="15"/>
  <c r="N16" i="15"/>
  <c r="N30" i="15" s="1"/>
  <c r="N20" i="15"/>
  <c r="R16" i="15"/>
  <c r="R30" i="15" s="1"/>
  <c r="R20" i="15"/>
  <c r="F16" i="15"/>
  <c r="F17" i="15" s="1"/>
  <c r="F18" i="15" s="1"/>
  <c r="F20" i="15"/>
  <c r="J16" i="15"/>
  <c r="J17" i="15" s="1"/>
  <c r="J18" i="15" s="1"/>
  <c r="J19" i="15" s="1"/>
  <c r="J20" i="15"/>
  <c r="W28" i="15"/>
  <c r="W31" i="15"/>
  <c r="W32" i="15" s="1"/>
  <c r="D16" i="15"/>
  <c r="L16" i="15"/>
  <c r="D33" i="15"/>
  <c r="E33" i="15"/>
  <c r="E20" i="15"/>
  <c r="E16" i="15"/>
  <c r="M33" i="15"/>
  <c r="M20" i="15"/>
  <c r="M16" i="15"/>
  <c r="P20" i="15"/>
  <c r="H33" i="15"/>
  <c r="H16" i="15"/>
  <c r="P16" i="15"/>
  <c r="L33" i="15"/>
  <c r="I33" i="15"/>
  <c r="I20" i="15"/>
  <c r="I16" i="15"/>
  <c r="Q33" i="15"/>
  <c r="Q20" i="15"/>
  <c r="Q16" i="15"/>
  <c r="N29" i="15"/>
  <c r="H20" i="15"/>
  <c r="C33" i="15"/>
  <c r="C20" i="15"/>
  <c r="C16" i="15"/>
  <c r="G33" i="15"/>
  <c r="G20" i="15"/>
  <c r="G16" i="15"/>
  <c r="K33" i="15"/>
  <c r="K20" i="15"/>
  <c r="K16" i="15"/>
  <c r="O33" i="15"/>
  <c r="O20" i="15"/>
  <c r="O16" i="15"/>
  <c r="S33" i="15"/>
  <c r="S20" i="15"/>
  <c r="S16" i="15"/>
  <c r="J29" i="15"/>
  <c r="D20" i="15"/>
  <c r="L20" i="15"/>
  <c r="P33" i="15"/>
  <c r="J30" i="15" l="1"/>
  <c r="N17" i="15"/>
  <c r="N18" i="15" s="1"/>
  <c r="F29" i="15"/>
  <c r="R17" i="15"/>
  <c r="R18" i="15" s="1"/>
  <c r="R19" i="15" s="1"/>
  <c r="F21" i="15"/>
  <c r="F30" i="15"/>
  <c r="R29" i="15"/>
  <c r="F19" i="15"/>
  <c r="S30" i="15"/>
  <c r="S29" i="15"/>
  <c r="S17" i="15"/>
  <c r="S18" i="15" s="1"/>
  <c r="K30" i="15"/>
  <c r="K29" i="15"/>
  <c r="K17" i="15"/>
  <c r="K18" i="15" s="1"/>
  <c r="K19" i="15" s="1"/>
  <c r="C30" i="15"/>
  <c r="C29" i="15"/>
  <c r="C17" i="15"/>
  <c r="C18" i="15" s="1"/>
  <c r="C21" i="15" s="1"/>
  <c r="M29" i="15"/>
  <c r="M30" i="15"/>
  <c r="M17" i="15"/>
  <c r="M18" i="15" s="1"/>
  <c r="M21" i="15" s="1"/>
  <c r="E29" i="15"/>
  <c r="E30" i="15"/>
  <c r="E17" i="15"/>
  <c r="E18" i="15" s="1"/>
  <c r="L30" i="15"/>
  <c r="L29" i="15"/>
  <c r="L17" i="15"/>
  <c r="L18" i="15" s="1"/>
  <c r="Q29" i="15"/>
  <c r="Q17" i="15"/>
  <c r="Q18" i="15" s="1"/>
  <c r="Q30" i="15"/>
  <c r="I29" i="15"/>
  <c r="I17" i="15"/>
  <c r="I18" i="15" s="1"/>
  <c r="I30" i="15"/>
  <c r="D30" i="15"/>
  <c r="D29" i="15"/>
  <c r="D17" i="15"/>
  <c r="D18" i="15" s="1"/>
  <c r="D19" i="15" s="1"/>
  <c r="N21" i="15"/>
  <c r="O30" i="15"/>
  <c r="O17" i="15"/>
  <c r="O18" i="15" s="1"/>
  <c r="O29" i="15"/>
  <c r="G30" i="15"/>
  <c r="G29" i="15"/>
  <c r="G17" i="15"/>
  <c r="G18" i="15" s="1"/>
  <c r="H30" i="15"/>
  <c r="H29" i="15"/>
  <c r="H17" i="15"/>
  <c r="H18" i="15" s="1"/>
  <c r="H19" i="15" s="1"/>
  <c r="N19" i="15"/>
  <c r="J21" i="15"/>
  <c r="P30" i="15"/>
  <c r="P29" i="15"/>
  <c r="P17" i="15"/>
  <c r="P18" i="15" s="1"/>
  <c r="C3" i="12"/>
  <c r="C3" i="15" s="1"/>
  <c r="W30" i="15" s="1"/>
  <c r="W29" i="15" s="1"/>
  <c r="R22" i="15" s="1"/>
  <c r="R23" i="15" s="1"/>
  <c r="R26" i="15" s="1"/>
  <c r="R21" i="15" l="1"/>
  <c r="S22" i="15"/>
  <c r="S23" i="15" s="1"/>
  <c r="S26" i="15" s="1"/>
  <c r="N34" i="15"/>
  <c r="N35" i="15" s="1"/>
  <c r="L34" i="15"/>
  <c r="L35" i="15" s="1"/>
  <c r="F22" i="15"/>
  <c r="F23" i="15" s="1"/>
  <c r="F26" i="15" s="1"/>
  <c r="K34" i="15"/>
  <c r="K35" i="15" s="1"/>
  <c r="Q34" i="15"/>
  <c r="Q35" i="15" s="1"/>
  <c r="N22" i="15"/>
  <c r="N23" i="15" s="1"/>
  <c r="N26" i="15" s="1"/>
  <c r="D22" i="15"/>
  <c r="D23" i="15" s="1"/>
  <c r="D26" i="15" s="1"/>
  <c r="O22" i="15"/>
  <c r="O23" i="15" s="1"/>
  <c r="O26" i="15" s="1"/>
  <c r="O24" i="15"/>
  <c r="O25" i="15" s="1"/>
  <c r="O27" i="15" s="1"/>
  <c r="Q22" i="15"/>
  <c r="Q23" i="15" s="1"/>
  <c r="Q26" i="15" s="1"/>
  <c r="E22" i="15"/>
  <c r="E23" i="15" s="1"/>
  <c r="E26" i="15" s="1"/>
  <c r="C22" i="15"/>
  <c r="C23" i="15" s="1"/>
  <c r="C26" i="15" s="1"/>
  <c r="M34" i="15"/>
  <c r="M35" i="15" s="1"/>
  <c r="J24" i="15"/>
  <c r="J25" i="15" s="1"/>
  <c r="J27" i="15" s="1"/>
  <c r="I34" i="15"/>
  <c r="I35" i="15" s="1"/>
  <c r="P34" i="15"/>
  <c r="P35" i="15" s="1"/>
  <c r="O34" i="15"/>
  <c r="O35" i="15" s="1"/>
  <c r="M22" i="15"/>
  <c r="M23" i="15" s="1"/>
  <c r="M26" i="15" s="1"/>
  <c r="K22" i="15"/>
  <c r="K23" i="15" s="1"/>
  <c r="K26" i="15" s="1"/>
  <c r="J34" i="15"/>
  <c r="J35" i="15" s="1"/>
  <c r="J22" i="15"/>
  <c r="J23" i="15" s="1"/>
  <c r="J26" i="15" s="1"/>
  <c r="D34" i="15"/>
  <c r="D35" i="15" s="1"/>
  <c r="G34" i="15"/>
  <c r="G35" i="15" s="1"/>
  <c r="F34" i="15"/>
  <c r="F35" i="15" s="1"/>
  <c r="R34" i="15"/>
  <c r="R35" i="15" s="1"/>
  <c r="P22" i="15"/>
  <c r="P23" i="15" s="1"/>
  <c r="P26" i="15" s="1"/>
  <c r="H22" i="15"/>
  <c r="H23" i="15" s="1"/>
  <c r="H26" i="15" s="1"/>
  <c r="G22" i="15"/>
  <c r="G23" i="15" s="1"/>
  <c r="G26" i="15" s="1"/>
  <c r="I22" i="15"/>
  <c r="I23" i="15" s="1"/>
  <c r="I26" i="15" s="1"/>
  <c r="L22" i="15"/>
  <c r="L23" i="15" s="1"/>
  <c r="L26" i="15" s="1"/>
  <c r="R24" i="15"/>
  <c r="R25" i="15" s="1"/>
  <c r="R27" i="15" s="1"/>
  <c r="E34" i="15"/>
  <c r="E35" i="15" s="1"/>
  <c r="N24" i="15"/>
  <c r="N25" i="15" s="1"/>
  <c r="N27" i="15" s="1"/>
  <c r="H34" i="15"/>
  <c r="H35" i="15" s="1"/>
  <c r="S34" i="15"/>
  <c r="S35" i="15" s="1"/>
  <c r="C34" i="15"/>
  <c r="C35" i="15" s="1"/>
  <c r="F24" i="15"/>
  <c r="F25" i="15" s="1"/>
  <c r="F27" i="15" s="1"/>
  <c r="K24" i="15"/>
  <c r="K25" i="15" s="1"/>
  <c r="K27" i="15" s="1"/>
  <c r="L19" i="15"/>
  <c r="L24" i="15"/>
  <c r="L25" i="15" s="1"/>
  <c r="L27" i="15" s="1"/>
  <c r="I19" i="15"/>
  <c r="I21" i="15"/>
  <c r="I24" i="15"/>
  <c r="I25" i="15" s="1"/>
  <c r="I27" i="15" s="1"/>
  <c r="D24" i="15"/>
  <c r="D25" i="15" s="1"/>
  <c r="D27" i="15" s="1"/>
  <c r="D21" i="15"/>
  <c r="S19" i="15"/>
  <c r="S24" i="15"/>
  <c r="S25" i="15" s="1"/>
  <c r="S27" i="15" s="1"/>
  <c r="S21" i="15"/>
  <c r="P21" i="15"/>
  <c r="P24" i="15"/>
  <c r="P25" i="15" s="1"/>
  <c r="P27" i="15" s="1"/>
  <c r="P19" i="15"/>
  <c r="G19" i="15"/>
  <c r="G21" i="15"/>
  <c r="G24" i="15"/>
  <c r="G25" i="15" s="1"/>
  <c r="G27" i="15" s="1"/>
  <c r="Q24" i="15"/>
  <c r="Q25" i="15" s="1"/>
  <c r="Q27" i="15" s="1"/>
  <c r="Q19" i="15"/>
  <c r="Q21" i="15"/>
  <c r="E24" i="15"/>
  <c r="E25" i="15" s="1"/>
  <c r="E27" i="15" s="1"/>
  <c r="E19" i="15"/>
  <c r="E21" i="15"/>
  <c r="C24" i="15"/>
  <c r="C25" i="15" s="1"/>
  <c r="C27" i="15" s="1"/>
  <c r="M19" i="15"/>
  <c r="C19" i="15"/>
  <c r="K21" i="15"/>
  <c r="O21" i="15"/>
  <c r="O19" i="15"/>
  <c r="L21" i="15"/>
  <c r="H24" i="15"/>
  <c r="H25" i="15" s="1"/>
  <c r="H27" i="15" s="1"/>
  <c r="M24" i="15"/>
  <c r="M25" i="15" s="1"/>
  <c r="M27" i="15" s="1"/>
  <c r="H21" i="15"/>
  <c r="J10" i="14"/>
  <c r="I10" i="14"/>
  <c r="H10" i="14"/>
  <c r="W31" i="12" l="1"/>
  <c r="W32" i="12"/>
  <c r="C16" i="12" l="1"/>
  <c r="C17" i="12" l="1"/>
  <c r="C20" i="12"/>
  <c r="W28" i="12"/>
  <c r="G3" i="12" l="1"/>
  <c r="W30" i="12"/>
  <c r="W29" i="12" s="1"/>
  <c r="C12" i="14"/>
  <c r="C13" i="14" s="1"/>
  <c r="C22" i="12" l="1"/>
  <c r="C18" i="12"/>
  <c r="O16" i="12" l="1"/>
  <c r="O20" i="12"/>
  <c r="O22" i="12" s="1"/>
  <c r="J16" i="12"/>
  <c r="J20" i="12"/>
  <c r="J22" i="12" s="1"/>
  <c r="F16" i="12"/>
  <c r="F20" i="12"/>
  <c r="F22" i="12" s="1"/>
  <c r="S16" i="12"/>
  <c r="S20" i="12"/>
  <c r="S22" i="12" s="1"/>
  <c r="N16" i="12"/>
  <c r="N20" i="12"/>
  <c r="N22" i="12" s="1"/>
  <c r="I20" i="12"/>
  <c r="I22" i="12" s="1"/>
  <c r="I16" i="12"/>
  <c r="E20" i="12"/>
  <c r="E22" i="12" s="1"/>
  <c r="E16" i="12"/>
  <c r="R16" i="12"/>
  <c r="R20" i="12"/>
  <c r="R22" i="12" s="1"/>
  <c r="Q20" i="12"/>
  <c r="Q22" i="12" s="1"/>
  <c r="Q16" i="12"/>
  <c r="L20" i="12"/>
  <c r="L22" i="12" s="1"/>
  <c r="L16" i="12"/>
  <c r="H20" i="12"/>
  <c r="H22" i="12" s="1"/>
  <c r="H16" i="12"/>
  <c r="D20" i="12"/>
  <c r="D22" i="12" s="1"/>
  <c r="D16" i="12"/>
  <c r="P20" i="12"/>
  <c r="P22" i="12" s="1"/>
  <c r="P16" i="12"/>
  <c r="K16" i="12"/>
  <c r="K20" i="12"/>
  <c r="K22" i="12" s="1"/>
  <c r="G16" i="12"/>
  <c r="G20" i="12"/>
  <c r="G22" i="12" s="1"/>
  <c r="M20" i="12"/>
  <c r="M22" i="12" s="1"/>
  <c r="M16" i="12"/>
  <c r="M17" i="12" l="1"/>
  <c r="G17" i="12"/>
  <c r="L17" i="12"/>
  <c r="F17" i="12"/>
  <c r="O17" i="12"/>
  <c r="P17" i="12"/>
  <c r="P18" i="12" s="1"/>
  <c r="R17" i="12"/>
  <c r="R18" i="12" s="1"/>
  <c r="S17" i="12"/>
  <c r="S18" i="12" s="1"/>
  <c r="S21" i="12" s="1"/>
  <c r="H17" i="12"/>
  <c r="Q17" i="12"/>
  <c r="Q18" i="12" s="1"/>
  <c r="I17" i="12"/>
  <c r="N17" i="12"/>
  <c r="J17" i="12"/>
  <c r="K17" i="12"/>
  <c r="D17" i="12"/>
  <c r="E17" i="12"/>
  <c r="R19" i="12" l="1"/>
  <c r="R21" i="12"/>
  <c r="S19" i="12"/>
  <c r="Q19" i="12"/>
  <c r="Q21" i="12"/>
  <c r="P19" i="12"/>
  <c r="P21" i="12"/>
  <c r="E18" i="12" l="1"/>
  <c r="D18" i="12"/>
  <c r="N18" i="12"/>
  <c r="N19" i="12" l="1"/>
  <c r="N21" i="12"/>
  <c r="E19" i="12"/>
  <c r="E21" i="12"/>
  <c r="D19" i="12"/>
  <c r="D21" i="12"/>
  <c r="F18" i="12"/>
  <c r="I18" i="12"/>
  <c r="K18" i="12"/>
  <c r="H18" i="12"/>
  <c r="M18" i="12"/>
  <c r="O18" i="12"/>
  <c r="G18" i="12"/>
  <c r="J18" i="12"/>
  <c r="L18" i="12"/>
  <c r="L19" i="12" l="1"/>
  <c r="L21" i="12"/>
  <c r="J19" i="12"/>
  <c r="J21" i="12"/>
  <c r="O19" i="12"/>
  <c r="O21" i="12"/>
  <c r="M19" i="12"/>
  <c r="M21" i="12"/>
  <c r="H19" i="12"/>
  <c r="H21" i="12"/>
  <c r="K19" i="12"/>
  <c r="K21" i="12"/>
  <c r="G19" i="12"/>
  <c r="G21" i="12"/>
  <c r="F19" i="12"/>
  <c r="F21" i="12"/>
  <c r="C19" i="12"/>
  <c r="C21" i="12"/>
  <c r="I19" i="12"/>
  <c r="I21" i="12"/>
</calcChain>
</file>

<file path=xl/sharedStrings.xml><?xml version="1.0" encoding="utf-8"?>
<sst xmlns="http://schemas.openxmlformats.org/spreadsheetml/2006/main" count="263" uniqueCount="187">
  <si>
    <t>Version 1.3</t>
  </si>
  <si>
    <t>Additive input data</t>
  </si>
  <si>
    <t>Equilibrium partitioning PNEC</t>
  </si>
  <si>
    <t>MW</t>
  </si>
  <si>
    <t>PNECsw (µg/L)</t>
  </si>
  <si>
    <t>VP (Pa)</t>
  </si>
  <si>
    <r>
      <t>PNEC</t>
    </r>
    <r>
      <rPr>
        <vertAlign val="subscript"/>
        <sz val="10"/>
        <rFont val="Calibri"/>
        <family val="2"/>
        <scheme val="minor"/>
      </rPr>
      <t>sed,EqP</t>
    </r>
    <r>
      <rPr>
        <sz val="10"/>
        <rFont val="Calibri"/>
        <family val="2"/>
        <scheme val="minor"/>
      </rPr>
      <t xml:space="preserve"> (µg/kg)</t>
    </r>
  </si>
  <si>
    <t>SOL (mg/L)</t>
  </si>
  <si>
    <t>Koc (L/kg)</t>
  </si>
  <si>
    <r>
      <t>DT</t>
    </r>
    <r>
      <rPr>
        <b/>
        <vertAlign val="subscript"/>
        <sz val="10"/>
        <rFont val="Calibri"/>
        <family val="2"/>
        <scheme val="minor"/>
      </rPr>
      <t>50</t>
    </r>
    <r>
      <rPr>
        <b/>
        <sz val="10"/>
        <rFont val="Calibri"/>
        <family val="2"/>
        <scheme val="minor"/>
      </rPr>
      <t xml:space="preserve"> (days)</t>
    </r>
  </si>
  <si>
    <t>Feed additives Environmental Risk Assessment (FERA) calculation for terrestrial animals. Last update April 2020</t>
  </si>
  <si>
    <t>ERA calculation terrestrial - Phase I</t>
  </si>
  <si>
    <r>
      <t>DEPTH</t>
    </r>
    <r>
      <rPr>
        <b/>
        <vertAlign val="subscript"/>
        <sz val="9"/>
        <rFont val="Calibri"/>
        <family val="2"/>
        <scheme val="minor"/>
      </rPr>
      <t>field</t>
    </r>
    <r>
      <rPr>
        <b/>
        <sz val="9"/>
        <rFont val="Calibri"/>
        <family val="2"/>
        <scheme val="minor"/>
      </rPr>
      <t xml:space="preserve"> (m)</t>
    </r>
  </si>
  <si>
    <t>DEPTH GW (m)</t>
  </si>
  <si>
    <t>Piglet</t>
  </si>
  <si>
    <t>Pig for fattening</t>
  </si>
  <si>
    <t>Sow with piglets</t>
  </si>
  <si>
    <t>Cattle for fattening</t>
  </si>
  <si>
    <t>Veal calf</t>
  </si>
  <si>
    <r>
      <t>Dairy cow</t>
    </r>
    <r>
      <rPr>
        <b/>
        <vertAlign val="superscript"/>
        <sz val="9"/>
        <rFont val="Calibri"/>
        <family val="2"/>
        <scheme val="minor"/>
      </rPr>
      <t xml:space="preserve"> </t>
    </r>
  </si>
  <si>
    <t>Lamb for fattening</t>
  </si>
  <si>
    <t>Sheep for fattening</t>
  </si>
  <si>
    <t>Meat sheep</t>
  </si>
  <si>
    <t>Dairy sheep</t>
  </si>
  <si>
    <t>Dairy goat</t>
  </si>
  <si>
    <t>Chicken for fattening</t>
  </si>
  <si>
    <t>Laying hen</t>
  </si>
  <si>
    <t>Turkey for fattening</t>
  </si>
  <si>
    <t>Rabbit for fattening</t>
  </si>
  <si>
    <r>
      <t>Horse</t>
    </r>
    <r>
      <rPr>
        <b/>
        <vertAlign val="superscript"/>
        <sz val="10"/>
        <rFont val="Tahoma"/>
        <family val="2"/>
      </rPr>
      <t/>
    </r>
  </si>
  <si>
    <t>Horse for fattening</t>
  </si>
  <si>
    <t>Parameter used in equations</t>
  </si>
  <si>
    <t>C add (mg/kg)</t>
  </si>
  <si>
    <t>Q kg N/ha/y</t>
  </si>
  <si>
    <t>Fixed input parameters</t>
  </si>
  <si>
    <r>
      <t>FI</t>
    </r>
    <r>
      <rPr>
        <vertAlign val="subscript"/>
        <sz val="9"/>
        <rFont val="Calibri"/>
        <family val="2"/>
        <scheme val="minor"/>
      </rPr>
      <t>total</t>
    </r>
    <r>
      <rPr>
        <sz val="9"/>
        <rFont val="Calibri"/>
        <family val="2"/>
        <scheme val="minor"/>
      </rPr>
      <t xml:space="preserve"> kg feed /animal/year</t>
    </r>
  </si>
  <si>
    <r>
      <t>RHO dry soil kg/m</t>
    </r>
    <r>
      <rPr>
        <i/>
        <vertAlign val="superscript"/>
        <sz val="10"/>
        <rFont val="Calibri"/>
        <family val="2"/>
        <scheme val="minor"/>
      </rPr>
      <t>3</t>
    </r>
  </si>
  <si>
    <r>
      <t>N</t>
    </r>
    <r>
      <rPr>
        <vertAlign val="subscript"/>
        <sz val="9"/>
        <rFont val="Calibri"/>
        <family val="2"/>
        <scheme val="minor"/>
      </rPr>
      <t>excreted</t>
    </r>
    <r>
      <rPr>
        <sz val="9"/>
        <rFont val="Calibri"/>
        <family val="2"/>
        <scheme val="minor"/>
      </rPr>
      <t xml:space="preserve"> kg/animal/y</t>
    </r>
  </si>
  <si>
    <r>
      <t>CONV</t>
    </r>
    <r>
      <rPr>
        <i/>
        <vertAlign val="subscript"/>
        <sz val="10"/>
        <rFont val="Calibri"/>
        <family val="2"/>
        <scheme val="minor"/>
      </rPr>
      <t>area field</t>
    </r>
    <r>
      <rPr>
        <i/>
        <sz val="10"/>
        <rFont val="Calibri"/>
        <family val="2"/>
        <scheme val="minor"/>
      </rPr>
      <t xml:space="preserve"> m</t>
    </r>
    <r>
      <rPr>
        <i/>
        <vertAlign val="superscript"/>
        <sz val="10"/>
        <rFont val="Calibri"/>
        <family val="2"/>
        <scheme val="minor"/>
      </rPr>
      <t>2</t>
    </r>
    <r>
      <rPr>
        <i/>
        <sz val="10"/>
        <rFont val="Calibri"/>
        <family val="2"/>
        <scheme val="minor"/>
      </rPr>
      <t>/ha</t>
    </r>
  </si>
  <si>
    <t>Phase I</t>
  </si>
  <si>
    <t>PEC manure mg/kgdw N</t>
  </si>
  <si>
    <r>
      <t>RHO fresh soil kg m</t>
    </r>
    <r>
      <rPr>
        <i/>
        <vertAlign val="superscript"/>
        <sz val="10"/>
        <rFont val="Calibri"/>
        <family val="2"/>
        <scheme val="minor"/>
      </rPr>
      <t>-3</t>
    </r>
  </si>
  <si>
    <t>Assessment endpoint (&lt;10 µg/kg)?</t>
  </si>
  <si>
    <t>PEC soil dw (µg/kg) - Phase I</t>
  </si>
  <si>
    <r>
      <t>R Pa m</t>
    </r>
    <r>
      <rPr>
        <i/>
        <vertAlign val="superscript"/>
        <sz val="10"/>
        <rFont val="Calibri"/>
        <family val="2"/>
        <scheme val="minor"/>
      </rPr>
      <t>3</t>
    </r>
    <r>
      <rPr>
        <i/>
        <sz val="10"/>
        <rFont val="Calibri"/>
        <family val="2"/>
        <scheme val="minor"/>
      </rPr>
      <t xml:space="preserve"> mol</t>
    </r>
    <r>
      <rPr>
        <i/>
        <vertAlign val="superscript"/>
        <sz val="10"/>
        <rFont val="Calibri"/>
        <family val="2"/>
        <scheme val="minor"/>
      </rPr>
      <t>-1</t>
    </r>
    <r>
      <rPr>
        <i/>
        <sz val="10"/>
        <rFont val="Calibri"/>
        <family val="2"/>
        <scheme val="minor"/>
      </rPr>
      <t xml:space="preserve"> K</t>
    </r>
    <r>
      <rPr>
        <i/>
        <vertAlign val="superscript"/>
        <sz val="10"/>
        <rFont val="Calibri"/>
        <family val="2"/>
        <scheme val="minor"/>
      </rPr>
      <t>-1</t>
    </r>
  </si>
  <si>
    <t>PEC soil dw 1year (mg/kg)</t>
  </si>
  <si>
    <t>Temp K</t>
  </si>
  <si>
    <t>Fd (% of FA degraded within 1 year)</t>
  </si>
  <si>
    <r>
      <t>F</t>
    </r>
    <r>
      <rPr>
        <i/>
        <vertAlign val="subscript"/>
        <sz val="10"/>
        <rFont val="Calibri"/>
        <family val="2"/>
        <scheme val="minor"/>
      </rPr>
      <t>solid soil</t>
    </r>
    <r>
      <rPr>
        <i/>
        <sz val="10"/>
        <rFont val="Calibri"/>
        <family val="2"/>
        <scheme val="minor"/>
      </rPr>
      <t xml:space="preserve"> m</t>
    </r>
    <r>
      <rPr>
        <i/>
        <vertAlign val="superscript"/>
        <sz val="10"/>
        <rFont val="Calibri"/>
        <family val="2"/>
        <scheme val="minor"/>
      </rPr>
      <t>3</t>
    </r>
    <r>
      <rPr>
        <i/>
        <sz val="10"/>
        <rFont val="Calibri"/>
        <family val="2"/>
        <scheme val="minor"/>
      </rPr>
      <t>/m</t>
    </r>
    <r>
      <rPr>
        <i/>
        <vertAlign val="superscript"/>
        <sz val="10"/>
        <rFont val="Calibri"/>
        <family val="2"/>
        <scheme val="minor"/>
      </rPr>
      <t>3</t>
    </r>
  </si>
  <si>
    <t>PEC Soil dw plateau  (µg/kg)</t>
  </si>
  <si>
    <r>
      <t>F</t>
    </r>
    <r>
      <rPr>
        <i/>
        <vertAlign val="subscript"/>
        <sz val="10"/>
        <rFont val="Calibri"/>
        <family val="2"/>
        <scheme val="minor"/>
      </rPr>
      <t>water soil</t>
    </r>
  </si>
  <si>
    <t>PEC soil ww (µg/kg)</t>
  </si>
  <si>
    <r>
      <t>F</t>
    </r>
    <r>
      <rPr>
        <i/>
        <vertAlign val="subscript"/>
        <sz val="10"/>
        <rFont val="Calibri"/>
        <family val="2"/>
        <scheme val="minor"/>
      </rPr>
      <t>air soil</t>
    </r>
  </si>
  <si>
    <t>PEC soil ww plateau (µg/kg)</t>
  </si>
  <si>
    <r>
      <t>Foc</t>
    </r>
    <r>
      <rPr>
        <i/>
        <vertAlign val="subscript"/>
        <sz val="10"/>
        <rFont val="Calibri"/>
        <family val="2"/>
        <scheme val="minor"/>
      </rPr>
      <t>soil</t>
    </r>
    <r>
      <rPr>
        <i/>
        <sz val="10"/>
        <rFont val="Calibri"/>
        <family val="2"/>
        <scheme val="minor"/>
      </rPr>
      <t xml:space="preserve"> kg/kg</t>
    </r>
  </si>
  <si>
    <t>Assessment endpoint (&lt;0.1 µg/kg)?</t>
  </si>
  <si>
    <t>PEC porewater (µg/L) - Phase I</t>
  </si>
  <si>
    <r>
      <t>RHO</t>
    </r>
    <r>
      <rPr>
        <i/>
        <vertAlign val="subscript"/>
        <sz val="10"/>
        <rFont val="Calibri"/>
        <family val="2"/>
        <scheme val="minor"/>
      </rPr>
      <t>solid</t>
    </r>
    <r>
      <rPr>
        <i/>
        <sz val="10"/>
        <rFont val="Calibri"/>
        <family val="2"/>
        <scheme val="minor"/>
      </rPr>
      <t xml:space="preserve"> kg/m</t>
    </r>
    <r>
      <rPr>
        <i/>
        <vertAlign val="superscript"/>
        <sz val="10"/>
        <rFont val="Calibri"/>
        <family val="2"/>
        <scheme val="minor"/>
      </rPr>
      <t>3</t>
    </r>
  </si>
  <si>
    <r>
      <t>RHO</t>
    </r>
    <r>
      <rPr>
        <i/>
        <vertAlign val="subscript"/>
        <sz val="10"/>
        <rFont val="Calibri"/>
        <family val="2"/>
        <scheme val="minor"/>
      </rPr>
      <t>susp</t>
    </r>
    <r>
      <rPr>
        <i/>
        <sz val="10"/>
        <rFont val="Calibri"/>
        <family val="2"/>
        <scheme val="minor"/>
      </rPr>
      <t xml:space="preserve"> kg/m</t>
    </r>
    <r>
      <rPr>
        <i/>
        <vertAlign val="superscript"/>
        <sz val="10"/>
        <rFont val="Calibri"/>
        <family val="2"/>
        <scheme val="minor"/>
      </rPr>
      <t>3</t>
    </r>
  </si>
  <si>
    <t>Fwater susp</t>
  </si>
  <si>
    <r>
      <t>L/m</t>
    </r>
    <r>
      <rPr>
        <i/>
        <vertAlign val="superscript"/>
        <sz val="10"/>
        <rFont val="Calibri"/>
        <family val="2"/>
        <scheme val="minor"/>
      </rPr>
      <t>3</t>
    </r>
  </si>
  <si>
    <t>Fsolid susp</t>
  </si>
  <si>
    <t>Foc susp</t>
  </si>
  <si>
    <r>
      <t>Kp</t>
    </r>
    <r>
      <rPr>
        <i/>
        <vertAlign val="subscript"/>
        <sz val="10"/>
        <rFont val="Calibri"/>
        <family val="2"/>
        <scheme val="minor"/>
      </rPr>
      <t>soil</t>
    </r>
    <r>
      <rPr>
        <i/>
        <sz val="10"/>
        <rFont val="Calibri"/>
        <family val="2"/>
        <scheme val="minor"/>
      </rPr>
      <t xml:space="preserve"> dm</t>
    </r>
    <r>
      <rPr>
        <i/>
        <vertAlign val="superscript"/>
        <sz val="10"/>
        <rFont val="Calibri"/>
        <family val="2"/>
        <scheme val="minor"/>
      </rPr>
      <t>3</t>
    </r>
    <r>
      <rPr>
        <i/>
        <sz val="10"/>
        <rFont val="Calibri"/>
        <family val="2"/>
        <scheme val="minor"/>
      </rPr>
      <t>/kg</t>
    </r>
  </si>
  <si>
    <t>Dependent distribution coefficients</t>
  </si>
  <si>
    <r>
      <t>K</t>
    </r>
    <r>
      <rPr>
        <i/>
        <vertAlign val="subscript"/>
        <sz val="10"/>
        <rFont val="Calibri"/>
        <family val="2"/>
        <scheme val="minor"/>
      </rPr>
      <t>soil-water</t>
    </r>
    <r>
      <rPr>
        <i/>
        <sz val="10"/>
        <rFont val="Calibri"/>
        <family val="2"/>
        <scheme val="minor"/>
      </rPr>
      <t xml:space="preserve"> m</t>
    </r>
    <r>
      <rPr>
        <i/>
        <vertAlign val="superscript"/>
        <sz val="10"/>
        <rFont val="Calibri"/>
        <family val="2"/>
        <scheme val="minor"/>
      </rPr>
      <t>3</t>
    </r>
    <r>
      <rPr>
        <i/>
        <sz val="10"/>
        <rFont val="Calibri"/>
        <family val="2"/>
        <scheme val="minor"/>
      </rPr>
      <t>/m</t>
    </r>
    <r>
      <rPr>
        <i/>
        <vertAlign val="superscript"/>
        <sz val="10"/>
        <rFont val="Calibri"/>
        <family val="2"/>
        <scheme val="minor"/>
      </rPr>
      <t>3</t>
    </r>
  </si>
  <si>
    <r>
      <t>K</t>
    </r>
    <r>
      <rPr>
        <i/>
        <vertAlign val="subscript"/>
        <sz val="10"/>
        <rFont val="Calibri"/>
        <family val="2"/>
        <scheme val="minor"/>
      </rPr>
      <t>air-water</t>
    </r>
    <r>
      <rPr>
        <i/>
        <sz val="10"/>
        <rFont val="Calibri"/>
        <family val="2"/>
        <scheme val="minor"/>
      </rPr>
      <t xml:space="preserve"> m</t>
    </r>
    <r>
      <rPr>
        <i/>
        <vertAlign val="superscript"/>
        <sz val="10"/>
        <rFont val="Calibri"/>
        <family val="2"/>
        <scheme val="minor"/>
      </rPr>
      <t>3</t>
    </r>
    <r>
      <rPr>
        <i/>
        <sz val="10"/>
        <rFont val="Calibri"/>
        <family val="2"/>
        <scheme val="minor"/>
      </rPr>
      <t>/m</t>
    </r>
    <r>
      <rPr>
        <i/>
        <vertAlign val="superscript"/>
        <sz val="10"/>
        <rFont val="Calibri"/>
        <family val="2"/>
        <scheme val="minor"/>
      </rPr>
      <t>3</t>
    </r>
  </si>
  <si>
    <r>
      <t>Kpsusp dm</t>
    </r>
    <r>
      <rPr>
        <i/>
        <vertAlign val="superscript"/>
        <sz val="10"/>
        <rFont val="Calibri"/>
        <family val="2"/>
        <scheme val="minor"/>
      </rPr>
      <t>3</t>
    </r>
    <r>
      <rPr>
        <i/>
        <sz val="10"/>
        <rFont val="Calibri"/>
        <family val="2"/>
        <scheme val="minor"/>
      </rPr>
      <t>/kg</t>
    </r>
  </si>
  <si>
    <r>
      <t>K</t>
    </r>
    <r>
      <rPr>
        <i/>
        <vertAlign val="subscript"/>
        <sz val="10"/>
        <rFont val="Calibri"/>
        <family val="2"/>
        <scheme val="minor"/>
      </rPr>
      <t>susp-water</t>
    </r>
    <r>
      <rPr>
        <i/>
        <sz val="10"/>
        <rFont val="Calibri"/>
        <family val="2"/>
        <scheme val="minor"/>
      </rPr>
      <t xml:space="preserve"> m</t>
    </r>
    <r>
      <rPr>
        <i/>
        <vertAlign val="superscript"/>
        <sz val="10"/>
        <rFont val="Calibri"/>
        <family val="2"/>
        <scheme val="minor"/>
      </rPr>
      <t>3</t>
    </r>
    <r>
      <rPr>
        <i/>
        <sz val="10"/>
        <rFont val="Calibri"/>
        <family val="2"/>
        <scheme val="minor"/>
      </rPr>
      <t>/m</t>
    </r>
    <r>
      <rPr>
        <i/>
        <vertAlign val="superscript"/>
        <sz val="10"/>
        <rFont val="Calibri"/>
        <family val="2"/>
        <scheme val="minor"/>
      </rPr>
      <t>3</t>
    </r>
  </si>
  <si>
    <t>Data for PEC refinement</t>
  </si>
  <si>
    <t>Fa (% excreted, [0 - 1])</t>
  </si>
  <si>
    <r>
      <t>N</t>
    </r>
    <r>
      <rPr>
        <b/>
        <vertAlign val="subscript"/>
        <sz val="10"/>
        <rFont val="Calibri"/>
        <family val="2"/>
        <scheme val="minor"/>
      </rPr>
      <t>spreading</t>
    </r>
  </si>
  <si>
    <r>
      <t>T</t>
    </r>
    <r>
      <rPr>
        <b/>
        <vertAlign val="subscript"/>
        <sz val="10"/>
        <rFont val="Calibri"/>
        <family val="2"/>
        <scheme val="minor"/>
      </rPr>
      <t xml:space="preserve">interval spreading </t>
    </r>
    <r>
      <rPr>
        <b/>
        <sz val="10"/>
        <rFont val="Calibri"/>
        <family val="2"/>
        <scheme val="minor"/>
      </rPr>
      <t>(days)</t>
    </r>
  </si>
  <si>
    <r>
      <t>DT</t>
    </r>
    <r>
      <rPr>
        <b/>
        <vertAlign val="subscript"/>
        <sz val="10"/>
        <rFont val="Calibri"/>
        <family val="2"/>
        <scheme val="minor"/>
      </rPr>
      <t>50 in manure</t>
    </r>
    <r>
      <rPr>
        <b/>
        <sz val="10"/>
        <rFont val="Calibri"/>
        <family val="2"/>
        <scheme val="minor"/>
      </rPr>
      <t xml:space="preserve"> (days)</t>
    </r>
  </si>
  <si>
    <r>
      <t>T</t>
    </r>
    <r>
      <rPr>
        <b/>
        <vertAlign val="subscript"/>
        <sz val="10"/>
        <rFont val="Calibri"/>
        <family val="2"/>
        <scheme val="minor"/>
      </rPr>
      <t xml:space="preserve">st </t>
    </r>
    <r>
      <rPr>
        <b/>
        <sz val="10"/>
        <rFont val="Calibri"/>
        <family val="2"/>
        <scheme val="minor"/>
      </rPr>
      <t>(days)</t>
    </r>
  </si>
  <si>
    <t>ERA calculation terrestrial - Phase II</t>
  </si>
  <si>
    <t>Phase II - A</t>
  </si>
  <si>
    <t xml:space="preserve">Metabolism </t>
  </si>
  <si>
    <t xml:space="preserve">PEC soil dw (µg/kg) </t>
  </si>
  <si>
    <t xml:space="preserve">Accumulation </t>
  </si>
  <si>
    <t>PEC surface water (µg/L)</t>
  </si>
  <si>
    <t>PEC plateau porewater (µg/L)</t>
  </si>
  <si>
    <t>PEC plateau surface water (µg/L)</t>
  </si>
  <si>
    <t>PEC sediment (µg/kg)</t>
  </si>
  <si>
    <t>PEC sediment plateau (µg/kg)</t>
  </si>
  <si>
    <t>Application rate (kg/ha) (for PEC GW refinement with FOCUS PEARL)</t>
  </si>
  <si>
    <t>Multiple appln.</t>
  </si>
  <si>
    <t>PECsoil multiple appln.</t>
  </si>
  <si>
    <t>Phase II - B</t>
  </si>
  <si>
    <t>PECsoil (µg/kg) - manure</t>
  </si>
  <si>
    <t>Manure degr.</t>
  </si>
  <si>
    <t>PEC soil ww (µg/kg) - manure</t>
  </si>
  <si>
    <t>PEC porewater (µg/L) - manure</t>
  </si>
  <si>
    <t>PEC surface water (µg/L) - manure</t>
  </si>
  <si>
    <t>ERA Aquaculture</t>
  </si>
  <si>
    <t>SEDIMENT AQUACULTURE SEA CAGES</t>
  </si>
  <si>
    <t>SURFACE WATER AQUACULTURE RACEWAY/POND/TANKS</t>
  </si>
  <si>
    <t>Salmon</t>
  </si>
  <si>
    <t>Rainbow trout</t>
  </si>
  <si>
    <t>Sea bass/ Sea bream</t>
  </si>
  <si>
    <t>Turbot</t>
  </si>
  <si>
    <t>CF (kg feed to kg tot C in faeces)</t>
  </si>
  <si>
    <r>
      <t>k</t>
    </r>
    <r>
      <rPr>
        <i/>
        <vertAlign val="subscript"/>
        <sz val="10"/>
        <rFont val="Calibri"/>
        <family val="2"/>
        <scheme val="minor"/>
      </rPr>
      <t>dep</t>
    </r>
    <r>
      <rPr>
        <i/>
        <sz val="10"/>
        <rFont val="Calibri"/>
        <family val="2"/>
        <scheme val="minor"/>
      </rPr>
      <t xml:space="preserve"> kg C/(m</t>
    </r>
    <r>
      <rPr>
        <i/>
        <vertAlign val="superscript"/>
        <sz val="10"/>
        <rFont val="Calibri"/>
        <family val="2"/>
        <scheme val="minor"/>
      </rPr>
      <t>2</t>
    </r>
    <r>
      <rPr>
        <i/>
        <sz val="10"/>
        <rFont val="Calibri"/>
        <family val="2"/>
        <scheme val="minor"/>
      </rPr>
      <t>×day)</t>
    </r>
  </si>
  <si>
    <t>FR (kg feed/kg fish per day)</t>
  </si>
  <si>
    <r>
      <t>T</t>
    </r>
    <r>
      <rPr>
        <i/>
        <vertAlign val="subscript"/>
        <sz val="10"/>
        <rFont val="Calibri"/>
        <family val="2"/>
        <scheme val="minor"/>
      </rPr>
      <t>production</t>
    </r>
    <r>
      <rPr>
        <i/>
        <sz val="10"/>
        <rFont val="Calibri"/>
        <family val="2"/>
        <scheme val="minor"/>
      </rPr>
      <t xml:space="preserve"> (day)</t>
    </r>
  </si>
  <si>
    <t>Flow (L/kg fish/day)</t>
  </si>
  <si>
    <r>
      <t>RHO</t>
    </r>
    <r>
      <rPr>
        <i/>
        <vertAlign val="subscript"/>
        <sz val="10"/>
        <rFont val="Calibri"/>
        <family val="2"/>
        <scheme val="minor"/>
      </rPr>
      <t xml:space="preserve">solid </t>
    </r>
    <r>
      <rPr>
        <i/>
        <sz val="10"/>
        <rFont val="Calibri"/>
        <family val="2"/>
        <scheme val="minor"/>
      </rPr>
      <t>kg/m</t>
    </r>
    <r>
      <rPr>
        <i/>
        <vertAlign val="superscript"/>
        <sz val="10"/>
        <rFont val="Calibri"/>
        <family val="2"/>
        <scheme val="minor"/>
      </rPr>
      <t>3</t>
    </r>
  </si>
  <si>
    <t>DF</t>
  </si>
  <si>
    <r>
      <t>DEPTH</t>
    </r>
    <r>
      <rPr>
        <i/>
        <vertAlign val="subscript"/>
        <sz val="10"/>
        <rFont val="Calibri"/>
        <family val="2"/>
        <scheme val="minor"/>
      </rPr>
      <t>sed</t>
    </r>
    <r>
      <rPr>
        <i/>
        <sz val="10"/>
        <rFont val="Calibri"/>
        <family val="2"/>
        <scheme val="minor"/>
      </rPr>
      <t xml:space="preserve"> (m)</t>
    </r>
  </si>
  <si>
    <t>Assessment endpoint (&lt;0.1 µg/L)</t>
  </si>
  <si>
    <r>
      <t>PEC</t>
    </r>
    <r>
      <rPr>
        <vertAlign val="subscript"/>
        <sz val="10"/>
        <color theme="0"/>
        <rFont val="Calibri"/>
        <family val="2"/>
        <scheme val="minor"/>
      </rPr>
      <t>swaq</t>
    </r>
    <r>
      <rPr>
        <sz val="10"/>
        <color theme="0"/>
        <rFont val="Calibri"/>
        <family val="2"/>
        <scheme val="minor"/>
      </rPr>
      <t xml:space="preserve"> µg/L</t>
    </r>
  </si>
  <si>
    <r>
      <t>F</t>
    </r>
    <r>
      <rPr>
        <i/>
        <vertAlign val="subscript"/>
        <sz val="10"/>
        <rFont val="Calibri"/>
        <family val="2"/>
        <scheme val="minor"/>
      </rPr>
      <t>soilid</t>
    </r>
    <r>
      <rPr>
        <i/>
        <sz val="10"/>
        <rFont val="Calibri"/>
        <family val="2"/>
        <scheme val="minor"/>
      </rPr>
      <t xml:space="preserve"> (m</t>
    </r>
    <r>
      <rPr>
        <i/>
        <vertAlign val="superscript"/>
        <sz val="10"/>
        <rFont val="Calibri"/>
        <family val="2"/>
        <scheme val="minor"/>
      </rPr>
      <t>3</t>
    </r>
    <r>
      <rPr>
        <i/>
        <sz val="10"/>
        <rFont val="Calibri"/>
        <family val="2"/>
        <scheme val="minor"/>
      </rPr>
      <t>/m</t>
    </r>
    <r>
      <rPr>
        <i/>
        <vertAlign val="superscript"/>
        <sz val="10"/>
        <rFont val="Calibri"/>
        <family val="2"/>
        <scheme val="minor"/>
      </rPr>
      <t>3</t>
    </r>
    <r>
      <rPr>
        <i/>
        <sz val="10"/>
        <rFont val="Calibri"/>
        <family val="2"/>
        <scheme val="minor"/>
      </rPr>
      <t>)</t>
    </r>
  </si>
  <si>
    <r>
      <t>PC</t>
    </r>
    <r>
      <rPr>
        <i/>
        <vertAlign val="subscript"/>
        <sz val="10"/>
        <rFont val="Calibri"/>
        <family val="2"/>
        <scheme val="minor"/>
      </rPr>
      <t>faeces</t>
    </r>
    <r>
      <rPr>
        <i/>
        <sz val="10"/>
        <rFont val="Calibri"/>
        <family val="2"/>
        <scheme val="minor"/>
      </rPr>
      <t xml:space="preserve"> mg/kg C</t>
    </r>
  </si>
  <si>
    <t>Assessment endpoint      (&lt;10 µg/kg)</t>
  </si>
  <si>
    <r>
      <t>PEC</t>
    </r>
    <r>
      <rPr>
        <vertAlign val="subscript"/>
        <sz val="10"/>
        <color theme="0"/>
        <rFont val="Calibri"/>
        <family val="2"/>
        <scheme val="minor"/>
      </rPr>
      <t>sed</t>
    </r>
    <r>
      <rPr>
        <sz val="10"/>
        <color theme="0"/>
        <rFont val="Calibri"/>
        <family val="2"/>
        <scheme val="minor"/>
      </rPr>
      <t xml:space="preserve"> µg/kg</t>
    </r>
  </si>
  <si>
    <t>Select</t>
  </si>
  <si>
    <t>LogKow</t>
  </si>
  <si>
    <t>Conversion of NOEC to PNECoral</t>
  </si>
  <si>
    <t>NOAEL (mg/kg bw day-1)</t>
  </si>
  <si>
    <t>CV - Conversion factor (kg bw day/kg feed)</t>
  </si>
  <si>
    <t xml:space="preserve">Rattus norvegicus (&gt; 6 weeks) </t>
  </si>
  <si>
    <t>AF - Assessment factor</t>
  </si>
  <si>
    <t>NOECmammal, food,chr - chronic</t>
  </si>
  <si>
    <t>PEC porewater (µg/L)</t>
  </si>
  <si>
    <t>PEC soil (µg/kg)</t>
  </si>
  <si>
    <t>ERA calculation risk for secondary poisoning</t>
  </si>
  <si>
    <t>PNECoral</t>
  </si>
  <si>
    <t>NOECbird/mammal (mg/kg feed)</t>
  </si>
  <si>
    <t>PNECoral (µg/kg feed)</t>
  </si>
  <si>
    <t>BMF values relevant for our assessment are 1 or 2</t>
  </si>
  <si>
    <t>Kow (L/L)</t>
  </si>
  <si>
    <t xml:space="preserve">Log Kow of substance </t>
  </si>
  <si>
    <t xml:space="preserve">BMF </t>
  </si>
  <si>
    <t>SP via the aquatic food chain</t>
  </si>
  <si>
    <t>BMF</t>
  </si>
  <si>
    <t>Log Kow 5 – 8 or BCFfish &gt; 5000</t>
  </si>
  <si>
    <t>Log Kow&lt;4.5 or BCFfish &lt; 2,000</t>
  </si>
  <si>
    <t>LogBCFfish</t>
  </si>
  <si>
    <t xml:space="preserve">Log Kow 4.5 - &lt;5 or BCFfish 2,000-5,000 </t>
  </si>
  <si>
    <t>PECfish(oral,predator) (µg/kg)</t>
  </si>
  <si>
    <t>PECfish/PNECoral</t>
  </si>
  <si>
    <t>Secondary poisoning via the terrestrial food chain</t>
  </si>
  <si>
    <t>Fgut (kgdwt/kgwwt)</t>
  </si>
  <si>
    <t>default value</t>
  </si>
  <si>
    <t>Conversion of NOAEL to NOEC</t>
  </si>
  <si>
    <t>RHOsoil (kgwwt/m3)</t>
  </si>
  <si>
    <t xml:space="preserve">Species </t>
  </si>
  <si>
    <t xml:space="preserve">Conversion factor (bw/dfi*) </t>
  </si>
  <si>
    <t>Fsolid (m3/m3)</t>
  </si>
  <si>
    <t xml:space="preserve">Canis domesticus </t>
  </si>
  <si>
    <t>RHOsoild (kgdwt/m3)</t>
  </si>
  <si>
    <t xml:space="preserve">Macaca sp. </t>
  </si>
  <si>
    <t>CONVsoil (kgwwt/kgdwt)</t>
  </si>
  <si>
    <t xml:space="preserve">Microtus spp. </t>
  </si>
  <si>
    <t>RHOearthworm (kgwwt/L)</t>
  </si>
  <si>
    <t xml:space="preserve">Mus musculus </t>
  </si>
  <si>
    <t>BCFearthworm (L/kg)</t>
  </si>
  <si>
    <t xml:space="preserve">Oryctolagus cuniculus </t>
  </si>
  <si>
    <t>PECearthworm(oral,predator) (µg/kg)</t>
  </si>
  <si>
    <t>PECearthworm/PNECoral</t>
  </si>
  <si>
    <t xml:space="preserve">Rattus norvegicus (≤ 6 weeks) </t>
  </si>
  <si>
    <t xml:space="preserve">Gallus domesticus </t>
  </si>
  <si>
    <t>Abbreviations</t>
  </si>
  <si>
    <t xml:space="preserve">Fgut </t>
  </si>
  <si>
    <t>fraction of gut loading in worm</t>
  </si>
  <si>
    <t xml:space="preserve">Fsolid </t>
  </si>
  <si>
    <t>volume fractions of solids in soil</t>
  </si>
  <si>
    <t xml:space="preserve">RHOsoil </t>
  </si>
  <si>
    <t>bulk density of wet soil</t>
  </si>
  <si>
    <t xml:space="preserve">RHOsoild </t>
  </si>
  <si>
    <t>density of solid phase</t>
  </si>
  <si>
    <t xml:space="preserve">CONVsoil </t>
  </si>
  <si>
    <t>conversion factor for soil concentration wet-dry weight soil</t>
  </si>
  <si>
    <t xml:space="preserve">RHOearthworm </t>
  </si>
  <si>
    <t>bulk density of wet earthworm</t>
  </si>
  <si>
    <t>* If the logKow is &gt;6, the applicant is invited to calculate the BCFfish according to what is established in the Guideline on environmental impact assessment for veterinary medicinal products in support of the VICH guidelines GL6 and GL38, Rev 1 (EMA, 2016)</t>
  </si>
  <si>
    <t>BCF</t>
  </si>
  <si>
    <r>
      <t>BCFfish (L/kg)</t>
    </r>
    <r>
      <rPr>
        <b/>
        <i/>
        <sz val="10"/>
        <rFont val="Calibri"/>
        <family val="2"/>
        <scheme val="minor"/>
      </rPr>
      <t>*</t>
    </r>
  </si>
  <si>
    <t>bioconcentration factor</t>
  </si>
  <si>
    <t>biomagnification factor</t>
  </si>
  <si>
    <r>
      <t>TOX</t>
    </r>
    <r>
      <rPr>
        <b/>
        <vertAlign val="subscript"/>
        <sz val="10"/>
        <color rgb="FF000000"/>
        <rFont val="Calibri"/>
        <family val="2"/>
        <scheme val="minor"/>
      </rPr>
      <t xml:space="preserve">oral </t>
    </r>
  </si>
  <si>
    <r>
      <t>AF</t>
    </r>
    <r>
      <rPr>
        <b/>
        <vertAlign val="subscript"/>
        <sz val="10"/>
        <color rgb="FF000000"/>
        <rFont val="Calibri"/>
        <family val="2"/>
        <scheme val="minor"/>
      </rPr>
      <t xml:space="preserve">oral </t>
    </r>
  </si>
  <si>
    <r>
      <t xml:space="preserve">LC50 </t>
    </r>
    <r>
      <rPr>
        <vertAlign val="subscript"/>
        <sz val="10"/>
        <color rgb="FF000000"/>
        <rFont val="Calibri"/>
        <family val="2"/>
        <scheme val="minor"/>
      </rPr>
      <t xml:space="preserve">bird - </t>
    </r>
    <r>
      <rPr>
        <sz val="10"/>
        <color rgb="FF000000"/>
        <rFont val="Calibri"/>
        <family val="2"/>
        <scheme val="minor"/>
      </rPr>
      <t xml:space="preserve">5 days </t>
    </r>
  </si>
  <si>
    <r>
      <t>NOEC</t>
    </r>
    <r>
      <rPr>
        <vertAlign val="subscript"/>
        <sz val="10"/>
        <color rgb="FF000000"/>
        <rFont val="Calibri"/>
        <family val="2"/>
        <scheme val="minor"/>
      </rPr>
      <t xml:space="preserve">bird </t>
    </r>
    <r>
      <rPr>
        <sz val="10"/>
        <color rgb="FF000000"/>
        <rFont val="Calibri"/>
        <family val="2"/>
        <scheme val="minor"/>
      </rPr>
      <t>- chronic</t>
    </r>
  </si>
  <si>
    <r>
      <t>NOEC</t>
    </r>
    <r>
      <rPr>
        <vertAlign val="subscript"/>
        <sz val="10"/>
        <color rgb="FF000000"/>
        <rFont val="Calibri"/>
        <family val="2"/>
        <scheme val="minor"/>
      </rPr>
      <t xml:space="preserve">mammal, food,chr </t>
    </r>
    <r>
      <rPr>
        <sz val="10"/>
        <color rgb="FF000000"/>
        <rFont val="Calibri"/>
        <family val="2"/>
        <scheme val="minor"/>
      </rPr>
      <t xml:space="preserve">- 28 days </t>
    </r>
  </si>
  <si>
    <r>
      <t>NOEC</t>
    </r>
    <r>
      <rPr>
        <vertAlign val="subscript"/>
        <sz val="10"/>
        <color rgb="FF000000"/>
        <rFont val="Calibri"/>
        <family val="2"/>
        <scheme val="minor"/>
      </rPr>
      <t>mammal, food,chr</t>
    </r>
    <r>
      <rPr>
        <sz val="10"/>
        <color rgb="FF000000"/>
        <rFont val="Calibri"/>
        <family val="2"/>
        <scheme val="minor"/>
      </rPr>
      <t xml:space="preserve"> - 90 days </t>
    </r>
  </si>
  <si>
    <r>
      <t>NOEC</t>
    </r>
    <r>
      <rPr>
        <vertAlign val="subscript"/>
        <sz val="10"/>
        <color rgb="FF000000"/>
        <rFont val="Calibri"/>
        <family val="2"/>
        <scheme val="minor"/>
      </rPr>
      <t>mammal, food,chr</t>
    </r>
    <r>
      <rPr>
        <sz val="10"/>
        <color rgb="FF000000"/>
        <rFont val="Calibri"/>
        <family val="2"/>
        <scheme val="minor"/>
      </rPr>
      <t xml:space="preserve"> - chronic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</si>
</sst>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00"/>
    <numFmt numFmtId="166" formatCode="0E+00"/>
    <numFmt numFmtId="167" formatCode="0.000E+00"/>
    <numFmt numFmtId="168" formatCode="##,##0.00"/>
    <numFmt numFmtId="169" formatCode="#,##0.000"/>
    <numFmt numFmtId="170" formatCode="#,##0.0"/>
    <numFmt numFmtId="171" formatCode="#,##0.0000"/>
  </numFmts>
  <fonts count="46" x14ac:knownFonts="1">
    <font>
      <sz val="10"/>
      <name val="Arial"/>
      <family val="2"/>
    </font>
    <font>
      <sz val="10"/>
      <name val="Times New Roman"/>
      <family val="1"/>
      <charset val="1"/>
    </font>
    <font>
      <sz val="10"/>
      <name val="Arial"/>
      <family val="2"/>
    </font>
    <font>
      <b/>
      <vertAlign val="superscript"/>
      <sz val="10"/>
      <name val="Tahoma"/>
      <family val="2"/>
    </font>
    <font>
      <sz val="10"/>
      <name val="Times New Roman"/>
      <family val="1"/>
    </font>
    <font>
      <b/>
      <sz val="11"/>
      <color theme="0"/>
      <name val="Calibri"/>
      <family val="2"/>
      <scheme val="minor"/>
    </font>
    <font>
      <i/>
      <sz val="11"/>
      <color rgb="FF7F7F7F"/>
      <name val="Calibri"/>
      <family val="2"/>
      <scheme val="minor"/>
    </font>
    <font>
      <sz val="9"/>
      <name val="Times New Roman"/>
      <family val="1"/>
    </font>
    <font>
      <sz val="9"/>
      <name val="Arial"/>
      <family val="2"/>
    </font>
    <font>
      <sz val="10"/>
      <name val="Calibri"/>
      <family val="2"/>
      <scheme val="minor"/>
    </font>
    <font>
      <b/>
      <sz val="18"/>
      <name val="Calibri"/>
      <family val="2"/>
      <scheme val="minor"/>
    </font>
    <font>
      <b/>
      <sz val="9"/>
      <name val="Calibri"/>
      <family val="2"/>
      <scheme val="minor"/>
    </font>
    <font>
      <b/>
      <vertAlign val="subscript"/>
      <sz val="9"/>
      <name val="Calibri"/>
      <family val="2"/>
      <scheme val="minor"/>
    </font>
    <font>
      <b/>
      <sz val="14"/>
      <name val="Calibri"/>
      <family val="2"/>
      <scheme val="minor"/>
    </font>
    <font>
      <b/>
      <sz val="10"/>
      <name val="Calibri"/>
      <family val="2"/>
      <scheme val="minor"/>
    </font>
    <font>
      <b/>
      <vertAlign val="subscript"/>
      <sz val="10"/>
      <name val="Calibri"/>
      <family val="2"/>
      <scheme val="minor"/>
    </font>
    <font>
      <vertAlign val="subscript"/>
      <sz val="10"/>
      <name val="Calibri"/>
      <family val="2"/>
      <scheme val="minor"/>
    </font>
    <font>
      <sz val="9"/>
      <name val="Calibri"/>
      <family val="2"/>
      <scheme val="minor"/>
    </font>
    <font>
      <b/>
      <sz val="20"/>
      <name val="Calibri"/>
      <family val="2"/>
      <scheme val="minor"/>
    </font>
    <font>
      <b/>
      <vertAlign val="superscript"/>
      <sz val="9"/>
      <name val="Calibri"/>
      <family val="2"/>
      <scheme val="minor"/>
    </font>
    <font>
      <b/>
      <sz val="11"/>
      <name val="Calibri"/>
      <family val="2"/>
      <scheme val="minor"/>
    </font>
    <font>
      <i/>
      <sz val="10"/>
      <name val="Calibri"/>
      <family val="2"/>
      <scheme val="minor"/>
    </font>
    <font>
      <i/>
      <vertAlign val="superscript"/>
      <sz val="10"/>
      <name val="Calibri"/>
      <family val="2"/>
      <scheme val="minor"/>
    </font>
    <font>
      <vertAlign val="subscript"/>
      <sz val="9"/>
      <name val="Calibri"/>
      <family val="2"/>
      <scheme val="minor"/>
    </font>
    <font>
      <i/>
      <vertAlign val="subscript"/>
      <sz val="10"/>
      <name val="Calibri"/>
      <family val="2"/>
      <scheme val="minor"/>
    </font>
    <font>
      <i/>
      <sz val="9"/>
      <name val="Calibri"/>
      <family val="2"/>
      <scheme val="minor"/>
    </font>
    <font>
      <b/>
      <sz val="9"/>
      <color theme="0"/>
      <name val="Calibri"/>
      <family val="2"/>
      <scheme val="minor"/>
    </font>
    <font>
      <b/>
      <sz val="12"/>
      <name val="Calibri"/>
      <family val="2"/>
      <scheme val="minor"/>
    </font>
    <font>
      <vertAlign val="subscript"/>
      <sz val="10"/>
      <color theme="0"/>
      <name val="Calibri"/>
      <family val="2"/>
      <scheme val="minor"/>
    </font>
    <font>
      <sz val="10"/>
      <color theme="0"/>
      <name val="Calibri"/>
      <family val="2"/>
      <scheme val="minor"/>
    </font>
    <font>
      <sz val="11"/>
      <color theme="1"/>
      <name val="Arial Narrow"/>
      <family val="2"/>
      <charset val="238"/>
    </font>
    <font>
      <sz val="10"/>
      <name val="Calibri"/>
      <family val="2"/>
      <charset val="238"/>
      <scheme val="minor"/>
    </font>
    <font>
      <sz val="9"/>
      <name val="Calibri"/>
      <family val="2"/>
      <charset val="238"/>
      <scheme val="minor"/>
    </font>
    <font>
      <sz val="10"/>
      <color theme="1"/>
      <name val="Arial Narrow"/>
      <family val="2"/>
      <charset val="238"/>
    </font>
    <font>
      <b/>
      <sz val="10"/>
      <color theme="1"/>
      <name val="Calibri"/>
      <family val="2"/>
      <charset val="238"/>
      <scheme val="minor"/>
    </font>
    <font>
      <b/>
      <sz val="10"/>
      <color theme="1"/>
      <name val="Arial Narrow"/>
      <family val="2"/>
      <charset val="238"/>
    </font>
    <font>
      <sz val="9"/>
      <color rgb="FF000000"/>
      <name val="Verdana"/>
      <family val="2"/>
    </font>
    <font>
      <b/>
      <sz val="10"/>
      <color theme="1"/>
      <name val="Arial Narrow"/>
      <family val="2"/>
    </font>
    <font>
      <sz val="9"/>
      <color theme="1"/>
      <name val="Arial Narrow"/>
      <family val="2"/>
      <charset val="238"/>
    </font>
    <font>
      <b/>
      <i/>
      <sz val="10"/>
      <name val="Calibri"/>
      <family val="2"/>
      <scheme val="minor"/>
    </font>
    <font>
      <i/>
      <sz val="10"/>
      <color rgb="FF000000"/>
      <name val="Calibri"/>
      <family val="2"/>
    </font>
    <font>
      <sz val="10"/>
      <color theme="1"/>
      <name val="Calibri"/>
      <family val="2"/>
      <scheme val="minor"/>
    </font>
    <font>
      <b/>
      <sz val="10"/>
      <color rgb="FF000000"/>
      <name val="Calibri"/>
      <family val="2"/>
      <scheme val="minor"/>
    </font>
    <font>
      <b/>
      <vertAlign val="subscript"/>
      <sz val="10"/>
      <color rgb="FF000000"/>
      <name val="Calibri"/>
      <family val="2"/>
      <scheme val="minor"/>
    </font>
    <font>
      <sz val="10"/>
      <color rgb="FF000000"/>
      <name val="Calibri"/>
      <family val="2"/>
      <scheme val="minor"/>
    </font>
    <font>
      <vertAlign val="subscript"/>
      <sz val="10"/>
      <color rgb="FF000000"/>
      <name val="Calibri"/>
      <family val="2"/>
      <scheme val="minor"/>
    </font>
  </fonts>
  <fills count="14">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43FF98"/>
        <bgColor indexed="64"/>
      </patternFill>
    </fill>
    <fill>
      <patternFill patternType="solid">
        <fgColor rgb="FFFFFF99"/>
        <bgColor indexed="51"/>
      </patternFill>
    </fill>
    <fill>
      <patternFill patternType="solid">
        <fgColor rgb="FFFFFF99"/>
        <bgColor indexed="64"/>
      </patternFill>
    </fill>
    <fill>
      <patternFill patternType="solid">
        <fgColor rgb="FFA5A5A5"/>
      </patternFill>
    </fill>
    <fill>
      <patternFill patternType="solid">
        <fgColor theme="9" tint="0.59999389629810485"/>
        <bgColor indexed="51"/>
      </patternFill>
    </fill>
    <fill>
      <patternFill patternType="solid">
        <fgColor theme="9"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CE4D6"/>
        <bgColor indexed="64"/>
      </patternFill>
    </fill>
    <fill>
      <patternFill patternType="solid">
        <fgColor theme="6" tint="0.39997558519241921"/>
        <bgColor indexed="51"/>
      </patternFill>
    </fill>
  </fills>
  <borders count="37">
    <border>
      <left/>
      <right/>
      <top/>
      <bottom/>
      <diagonal/>
    </border>
    <border>
      <left/>
      <right/>
      <top style="medium">
        <color auto="1"/>
      </top>
      <bottom/>
      <diagonal/>
    </border>
    <border>
      <left/>
      <right/>
      <top/>
      <bottom style="medium">
        <color auto="1"/>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auto="1"/>
      </left>
      <right style="thin">
        <color auto="1"/>
      </right>
      <top style="medium">
        <color auto="1"/>
      </top>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indexed="64"/>
      </top>
      <bottom/>
      <diagonal/>
    </border>
    <border>
      <left/>
      <right style="thin">
        <color indexed="64"/>
      </right>
      <top style="thin">
        <color indexed="64"/>
      </top>
      <bottom/>
      <diagonal/>
    </border>
    <border>
      <left/>
      <right style="thin">
        <color auto="1"/>
      </right>
      <top/>
      <bottom/>
      <diagonal/>
    </border>
    <border>
      <left style="thin">
        <color rgb="FF000000"/>
      </left>
      <right/>
      <top style="medium">
        <color rgb="FF000000"/>
      </top>
      <bottom/>
      <diagonal/>
    </border>
    <border>
      <left style="thin">
        <color rgb="FF000000"/>
      </left>
      <right/>
      <top/>
      <bottom/>
      <diagonal/>
    </border>
    <border>
      <left style="thin">
        <color rgb="FF000000"/>
      </left>
      <right style="thin">
        <color auto="1"/>
      </right>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style="medium">
        <color rgb="FF000000"/>
      </top>
      <bottom/>
      <diagonal/>
    </border>
  </borders>
  <cellStyleXfs count="8">
    <xf numFmtId="0" fontId="0" fillId="0" borderId="0"/>
    <xf numFmtId="0" fontId="1" fillId="0" borderId="0"/>
    <xf numFmtId="0" fontId="1" fillId="2" borderId="0"/>
    <xf numFmtId="0" fontId="1" fillId="0" borderId="0"/>
    <xf numFmtId="9" fontId="2" fillId="0" borderId="0" applyFill="0" applyBorder="0" applyAlignment="0" applyProtection="0"/>
    <xf numFmtId="0" fontId="1" fillId="2" borderId="0"/>
    <xf numFmtId="0" fontId="5" fillId="7" borderId="4" applyNumberFormat="0" applyAlignment="0" applyProtection="0"/>
    <xf numFmtId="0" fontId="6" fillId="0" borderId="0" applyNumberFormat="0" applyFill="0" applyBorder="0" applyAlignment="0" applyProtection="0"/>
  </cellStyleXfs>
  <cellXfs count="169">
    <xf numFmtId="0" fontId="0" fillId="0" borderId="0" xfId="0"/>
    <xf numFmtId="0" fontId="1" fillId="0" borderId="0" xfId="1"/>
    <xf numFmtId="0" fontId="4" fillId="0" borderId="0" xfId="1" applyFont="1"/>
    <xf numFmtId="1" fontId="4" fillId="0" borderId="0" xfId="0" applyNumberFormat="1" applyFont="1"/>
    <xf numFmtId="165" fontId="4" fillId="0" borderId="0" xfId="0" applyNumberFormat="1" applyFont="1"/>
    <xf numFmtId="166" fontId="4" fillId="0" borderId="0" xfId="0" applyNumberFormat="1" applyFont="1"/>
    <xf numFmtId="0" fontId="7" fillId="0" borderId="0" xfId="1" applyFont="1"/>
    <xf numFmtId="0" fontId="2" fillId="0" borderId="0" xfId="1" applyFont="1"/>
    <xf numFmtId="0" fontId="8" fillId="0" borderId="0" xfId="1" applyFont="1"/>
    <xf numFmtId="0" fontId="9" fillId="0" borderId="0" xfId="1" applyFont="1"/>
    <xf numFmtId="0" fontId="10" fillId="0" borderId="0" xfId="1" applyFont="1" applyAlignment="1">
      <alignment horizontal="center"/>
    </xf>
    <xf numFmtId="0" fontId="13" fillId="0" borderId="0" xfId="1" applyFont="1" applyAlignment="1">
      <alignment vertical="center"/>
    </xf>
    <xf numFmtId="0" fontId="17" fillId="0" borderId="0" xfId="1" applyFont="1"/>
    <xf numFmtId="0" fontId="14" fillId="0" borderId="0" xfId="1" applyFont="1"/>
    <xf numFmtId="2" fontId="9" fillId="0" borderId="0" xfId="1" applyNumberFormat="1" applyFont="1"/>
    <xf numFmtId="167" fontId="9" fillId="0" borderId="0" xfId="1" applyNumberFormat="1" applyFont="1"/>
    <xf numFmtId="165" fontId="9" fillId="0" borderId="0" xfId="1" applyNumberFormat="1" applyFont="1"/>
    <xf numFmtId="164" fontId="9" fillId="0" borderId="0" xfId="1" applyNumberFormat="1" applyFont="1"/>
    <xf numFmtId="0" fontId="9" fillId="0" borderId="0" xfId="3" applyFont="1"/>
    <xf numFmtId="1" fontId="9" fillId="0" borderId="0" xfId="1" applyNumberFormat="1" applyFont="1"/>
    <xf numFmtId="0" fontId="9" fillId="0" borderId="0" xfId="0" applyFont="1"/>
    <xf numFmtId="0" fontId="14" fillId="0" borderId="0" xfId="1" applyFont="1" applyAlignment="1">
      <alignment horizontal="right"/>
    </xf>
    <xf numFmtId="0" fontId="9" fillId="0" borderId="0" xfId="1" applyFont="1" applyAlignment="1">
      <alignment horizontal="right"/>
    </xf>
    <xf numFmtId="0" fontId="25" fillId="3" borderId="7" xfId="7" applyFont="1" applyFill="1" applyBorder="1"/>
    <xf numFmtId="1" fontId="9" fillId="0" borderId="7" xfId="0" applyNumberFormat="1" applyFont="1" applyBorder="1"/>
    <xf numFmtId="0" fontId="25" fillId="0" borderId="6" xfId="7" applyFont="1" applyFill="1" applyBorder="1"/>
    <xf numFmtId="0" fontId="25" fillId="0" borderId="7" xfId="7" applyFont="1" applyFill="1" applyBorder="1"/>
    <xf numFmtId="0" fontId="25" fillId="0" borderId="5" xfId="7" applyFont="1" applyFill="1" applyBorder="1"/>
    <xf numFmtId="0" fontId="8" fillId="0" borderId="0" xfId="1" applyFont="1" applyAlignment="1">
      <alignment wrapText="1"/>
    </xf>
    <xf numFmtId="0" fontId="27" fillId="0" borderId="1" xfId="1" applyFont="1" applyBorder="1" applyAlignment="1">
      <alignment horizontal="center"/>
    </xf>
    <xf numFmtId="0" fontId="25" fillId="0" borderId="6" xfId="7" applyFont="1" applyFill="1" applyBorder="1" applyAlignment="1">
      <alignment wrapText="1"/>
    </xf>
    <xf numFmtId="0" fontId="21" fillId="0" borderId="11" xfId="1" applyFont="1" applyBorder="1"/>
    <xf numFmtId="0" fontId="9" fillId="0" borderId="11" xfId="1" applyFont="1" applyBorder="1"/>
    <xf numFmtId="0" fontId="11" fillId="0" borderId="11" xfId="1" applyFont="1" applyBorder="1" applyAlignment="1">
      <alignment horizontal="center" vertical="center" wrapText="1"/>
    </xf>
    <xf numFmtId="0" fontId="14" fillId="0" borderId="14" xfId="1" applyFont="1" applyBorder="1" applyAlignment="1">
      <alignment horizontal="right" vertical="top" wrapText="1"/>
    </xf>
    <xf numFmtId="0" fontId="14" fillId="0" borderId="3" xfId="1" applyFont="1" applyBorder="1" applyAlignment="1">
      <alignment horizontal="right" wrapText="1"/>
    </xf>
    <xf numFmtId="0" fontId="9" fillId="8" borderId="6" xfId="3" applyFont="1" applyFill="1" applyBorder="1"/>
    <xf numFmtId="0" fontId="9" fillId="8" borderId="6" xfId="1" applyFont="1" applyFill="1" applyBorder="1"/>
    <xf numFmtId="0" fontId="14" fillId="5" borderId="11" xfId="1" applyFont="1" applyFill="1" applyBorder="1" applyAlignment="1">
      <alignment horizontal="left" vertical="top"/>
    </xf>
    <xf numFmtId="2" fontId="9" fillId="5" borderId="11" xfId="1" applyNumberFormat="1" applyFont="1" applyFill="1" applyBorder="1" applyAlignment="1">
      <alignment horizontal="left" vertical="top"/>
    </xf>
    <xf numFmtId="0" fontId="10" fillId="0" borderId="0" xfId="1" applyFont="1" applyAlignment="1">
      <alignment horizontal="left" vertical="top"/>
    </xf>
    <xf numFmtId="167" fontId="9" fillId="5" borderId="11" xfId="1" applyNumberFormat="1" applyFont="1" applyFill="1" applyBorder="1" applyAlignment="1">
      <alignment horizontal="left" vertical="top"/>
    </xf>
    <xf numFmtId="0" fontId="9" fillId="0" borderId="0" xfId="1" applyFont="1" applyAlignment="1">
      <alignment horizontal="left" vertical="top"/>
    </xf>
    <xf numFmtId="165" fontId="9" fillId="5" borderId="11" xfId="1" applyNumberFormat="1" applyFont="1" applyFill="1" applyBorder="1" applyAlignment="1">
      <alignment horizontal="left" vertical="top"/>
    </xf>
    <xf numFmtId="164" fontId="9" fillId="5" borderId="11" xfId="1" applyNumberFormat="1" applyFont="1" applyFill="1" applyBorder="1" applyAlignment="1">
      <alignment horizontal="left" vertical="top"/>
    </xf>
    <xf numFmtId="1" fontId="9" fillId="5" borderId="11" xfId="1" applyNumberFormat="1" applyFont="1" applyFill="1" applyBorder="1" applyAlignment="1">
      <alignment horizontal="left" vertical="top"/>
    </xf>
    <xf numFmtId="0" fontId="9" fillId="8" borderId="11" xfId="1" applyFont="1" applyFill="1" applyBorder="1" applyAlignment="1">
      <alignment vertical="top"/>
    </xf>
    <xf numFmtId="0" fontId="11" fillId="8" borderId="11" xfId="1" applyFont="1" applyFill="1" applyBorder="1" applyAlignment="1">
      <alignment horizontal="left" vertical="top"/>
    </xf>
    <xf numFmtId="0" fontId="17" fillId="0" borderId="11" xfId="1" applyFont="1" applyBorder="1" applyAlignment="1">
      <alignment vertical="top"/>
    </xf>
    <xf numFmtId="0" fontId="11" fillId="0" borderId="11" xfId="1" applyFont="1" applyBorder="1" applyAlignment="1">
      <alignment horizontal="center" vertical="top" wrapText="1"/>
    </xf>
    <xf numFmtId="0" fontId="11" fillId="5" borderId="6" xfId="1" applyFont="1" applyFill="1" applyBorder="1" applyAlignment="1">
      <alignment vertical="top"/>
    </xf>
    <xf numFmtId="0" fontId="17" fillId="8" borderId="6" xfId="1" applyFont="1" applyFill="1" applyBorder="1" applyAlignment="1">
      <alignment vertical="top"/>
    </xf>
    <xf numFmtId="0" fontId="9" fillId="8" borderId="6" xfId="3" applyFont="1" applyFill="1" applyBorder="1" applyAlignment="1">
      <alignment vertical="top"/>
    </xf>
    <xf numFmtId="0" fontId="9" fillId="8" borderId="6" xfId="1" applyFont="1" applyFill="1" applyBorder="1" applyAlignment="1">
      <alignment vertical="top"/>
    </xf>
    <xf numFmtId="0" fontId="13" fillId="0" borderId="0" xfId="1" applyFont="1" applyAlignment="1">
      <alignment vertical="top"/>
    </xf>
    <xf numFmtId="0" fontId="10" fillId="0" borderId="0" xfId="1" applyFont="1" applyAlignment="1">
      <alignment vertical="top"/>
    </xf>
    <xf numFmtId="0" fontId="21" fillId="0" borderId="0" xfId="1" applyFont="1"/>
    <xf numFmtId="0" fontId="2" fillId="0" borderId="0" xfId="1" applyFont="1" applyAlignment="1">
      <alignment horizontal="center" vertical="center" textRotation="180" wrapText="1"/>
    </xf>
    <xf numFmtId="0" fontId="27" fillId="0" borderId="7" xfId="1" applyFont="1" applyBorder="1" applyAlignment="1">
      <alignment horizontal="center"/>
    </xf>
    <xf numFmtId="0" fontId="2" fillId="0" borderId="2" xfId="1" applyFont="1" applyBorder="1"/>
    <xf numFmtId="0" fontId="27" fillId="0" borderId="0" xfId="1" applyFont="1" applyAlignment="1">
      <alignment vertical="center"/>
    </xf>
    <xf numFmtId="0" fontId="27" fillId="0" borderId="0" xfId="1" applyFont="1" applyAlignment="1">
      <alignment horizontal="right"/>
    </xf>
    <xf numFmtId="0" fontId="27" fillId="0" borderId="0" xfId="1" applyFont="1" applyAlignment="1">
      <alignment horizontal="right" vertical="center"/>
    </xf>
    <xf numFmtId="0" fontId="9" fillId="0" borderId="0" xfId="0" applyFont="1" applyAlignment="1">
      <alignment horizontal="right"/>
    </xf>
    <xf numFmtId="0" fontId="0" fillId="0" borderId="0" xfId="0" applyAlignment="1">
      <alignment horizontal="right"/>
    </xf>
    <xf numFmtId="0" fontId="14" fillId="0" borderId="15" xfId="1" applyFont="1" applyBorder="1" applyAlignment="1">
      <alignment horizontal="right" vertical="top" wrapText="1"/>
    </xf>
    <xf numFmtId="0" fontId="14" fillId="5" borderId="11" xfId="1" applyFont="1" applyFill="1" applyBorder="1"/>
    <xf numFmtId="0" fontId="26" fillId="7" borderId="11" xfId="6" applyFont="1" applyBorder="1" applyAlignment="1">
      <alignment vertical="center"/>
    </xf>
    <xf numFmtId="1" fontId="9" fillId="0" borderId="11" xfId="0" applyNumberFormat="1" applyFont="1" applyBorder="1" applyAlignment="1">
      <alignment vertical="center"/>
    </xf>
    <xf numFmtId="0" fontId="14" fillId="0" borderId="0" xfId="1" applyFont="1" applyAlignment="1">
      <alignment horizontal="right" vertical="center" wrapText="1"/>
    </xf>
    <xf numFmtId="0" fontId="14" fillId="0" borderId="11" xfId="1" applyFont="1" applyBorder="1"/>
    <xf numFmtId="0" fontId="14" fillId="0" borderId="11" xfId="1" applyFont="1" applyBorder="1" applyAlignment="1">
      <alignment horizontal="center" vertical="center" wrapText="1"/>
    </xf>
    <xf numFmtId="0" fontId="26" fillId="7" borderId="11" xfId="6" applyFont="1" applyBorder="1"/>
    <xf numFmtId="165" fontId="9" fillId="0" borderId="11" xfId="0" applyNumberFormat="1" applyFont="1" applyBorder="1"/>
    <xf numFmtId="0" fontId="9" fillId="9" borderId="11" xfId="1" applyFont="1" applyFill="1" applyBorder="1"/>
    <xf numFmtId="2" fontId="9" fillId="0" borderId="9" xfId="0" applyNumberFormat="1" applyFont="1" applyBorder="1"/>
    <xf numFmtId="2" fontId="9" fillId="0" borderId="10" xfId="0" applyNumberFormat="1" applyFont="1" applyBorder="1"/>
    <xf numFmtId="0" fontId="27" fillId="0" borderId="0" xfId="1" applyFont="1" applyAlignment="1">
      <alignment vertical="top"/>
    </xf>
    <xf numFmtId="0" fontId="14" fillId="6" borderId="12" xfId="1" applyFont="1" applyFill="1" applyBorder="1" applyAlignment="1">
      <alignment horizontal="left" vertical="top"/>
    </xf>
    <xf numFmtId="0" fontId="14" fillId="6" borderId="13" xfId="1" applyFont="1" applyFill="1" applyBorder="1" applyAlignment="1">
      <alignment horizontal="left" vertical="top"/>
    </xf>
    <xf numFmtId="0" fontId="21" fillId="0" borderId="17" xfId="1" applyFont="1" applyBorder="1"/>
    <xf numFmtId="0" fontId="21" fillId="0" borderId="18" xfId="1" applyFont="1" applyBorder="1"/>
    <xf numFmtId="0" fontId="21" fillId="0" borderId="20" xfId="1" applyFont="1" applyBorder="1"/>
    <xf numFmtId="0" fontId="21" fillId="0" borderId="22" xfId="1" applyFont="1" applyBorder="1"/>
    <xf numFmtId="0" fontId="21" fillId="0" borderId="23" xfId="1" applyFont="1" applyBorder="1"/>
    <xf numFmtId="0" fontId="26" fillId="7" borderId="16" xfId="6" applyFont="1" applyBorder="1"/>
    <xf numFmtId="2" fontId="9" fillId="0" borderId="8" xfId="0" applyNumberFormat="1" applyFont="1" applyBorder="1"/>
    <xf numFmtId="168" fontId="9" fillId="0" borderId="6" xfId="0" applyNumberFormat="1" applyFont="1" applyBorder="1"/>
    <xf numFmtId="169" fontId="9" fillId="0" borderId="7" xfId="0" applyNumberFormat="1" applyFont="1" applyBorder="1"/>
    <xf numFmtId="169" fontId="9" fillId="0" borderId="6" xfId="0" applyNumberFormat="1" applyFont="1" applyBorder="1"/>
    <xf numFmtId="169" fontId="9" fillId="0" borderId="6" xfId="1" applyNumberFormat="1" applyFont="1" applyBorder="1"/>
    <xf numFmtId="169" fontId="9" fillId="0" borderId="7" xfId="1" applyNumberFormat="1" applyFont="1" applyBorder="1"/>
    <xf numFmtId="169" fontId="9" fillId="0" borderId="5" xfId="0" applyNumberFormat="1" applyFont="1" applyBorder="1"/>
    <xf numFmtId="2" fontId="9" fillId="5" borderId="11" xfId="1" applyNumberFormat="1" applyFont="1" applyFill="1" applyBorder="1" applyAlignment="1" applyProtection="1">
      <alignment horizontal="left" vertical="top"/>
      <protection locked="0"/>
    </xf>
    <xf numFmtId="167" fontId="9" fillId="5" borderId="11" xfId="1" applyNumberFormat="1" applyFont="1" applyFill="1" applyBorder="1" applyAlignment="1" applyProtection="1">
      <alignment horizontal="left" vertical="top"/>
      <protection locked="0"/>
    </xf>
    <xf numFmtId="165" fontId="9" fillId="5" borderId="11" xfId="1" applyNumberFormat="1" applyFont="1" applyFill="1" applyBorder="1" applyAlignment="1" applyProtection="1">
      <alignment horizontal="left" vertical="top"/>
      <protection locked="0"/>
    </xf>
    <xf numFmtId="164" fontId="9" fillId="5" borderId="11" xfId="1" applyNumberFormat="1" applyFont="1" applyFill="1" applyBorder="1" applyAlignment="1" applyProtection="1">
      <alignment horizontal="left" vertical="top"/>
      <protection locked="0"/>
    </xf>
    <xf numFmtId="1" fontId="9" fillId="5" borderId="11" xfId="1" applyNumberFormat="1" applyFont="1" applyFill="1" applyBorder="1" applyAlignment="1" applyProtection="1">
      <alignment horizontal="left" vertical="top"/>
      <protection locked="0"/>
    </xf>
    <xf numFmtId="0" fontId="9" fillId="6" borderId="11" xfId="1" applyFont="1" applyFill="1" applyBorder="1" applyProtection="1">
      <protection locked="0"/>
    </xf>
    <xf numFmtId="0" fontId="9" fillId="5" borderId="6" xfId="1" applyFont="1" applyFill="1" applyBorder="1" applyAlignment="1" applyProtection="1">
      <alignment vertical="top"/>
      <protection locked="0"/>
    </xf>
    <xf numFmtId="0" fontId="9" fillId="6" borderId="11" xfId="1" applyFont="1" applyFill="1" applyBorder="1" applyAlignment="1" applyProtection="1">
      <alignment horizontal="left" vertical="top"/>
      <protection locked="0"/>
    </xf>
    <xf numFmtId="1" fontId="9" fillId="5" borderId="6" xfId="1" applyNumberFormat="1" applyFont="1" applyFill="1" applyBorder="1" applyAlignment="1" applyProtection="1">
      <alignment vertical="top"/>
      <protection locked="0"/>
    </xf>
    <xf numFmtId="1" fontId="9" fillId="5" borderId="6" xfId="1" applyNumberFormat="1" applyFont="1" applyFill="1" applyBorder="1" applyProtection="1">
      <protection locked="0"/>
    </xf>
    <xf numFmtId="0" fontId="14" fillId="5" borderId="11" xfId="1" applyFont="1" applyFill="1" applyBorder="1" applyProtection="1">
      <protection locked="0"/>
    </xf>
    <xf numFmtId="0" fontId="30" fillId="0" borderId="0" xfId="0" applyFont="1"/>
    <xf numFmtId="164" fontId="30" fillId="0" borderId="0" xfId="0" applyNumberFormat="1" applyFont="1"/>
    <xf numFmtId="0" fontId="33" fillId="0" borderId="0" xfId="0" applyFont="1"/>
    <xf numFmtId="0" fontId="18" fillId="0" borderId="0" xfId="1" applyFont="1"/>
    <xf numFmtId="170" fontId="31" fillId="0" borderId="29" xfId="7" applyNumberFormat="1" applyFont="1" applyFill="1" applyBorder="1"/>
    <xf numFmtId="170" fontId="31" fillId="0" borderId="30" xfId="7" applyNumberFormat="1" applyFont="1" applyFill="1" applyBorder="1"/>
    <xf numFmtId="164" fontId="33" fillId="0" borderId="7" xfId="0" applyNumberFormat="1" applyFont="1" applyBorder="1"/>
    <xf numFmtId="0" fontId="33" fillId="0" borderId="6" xfId="0" applyFont="1" applyBorder="1"/>
    <xf numFmtId="170" fontId="31" fillId="0" borderId="6" xfId="7" applyNumberFormat="1" applyFont="1" applyFill="1" applyBorder="1"/>
    <xf numFmtId="0" fontId="35" fillId="0" borderId="0" xfId="0" applyFont="1"/>
    <xf numFmtId="4" fontId="31" fillId="0" borderId="6" xfId="7" applyNumberFormat="1" applyFont="1" applyFill="1" applyBorder="1"/>
    <xf numFmtId="170" fontId="31" fillId="11" borderId="34" xfId="7" applyNumberFormat="1" applyFont="1" applyFill="1" applyBorder="1"/>
    <xf numFmtId="3" fontId="31" fillId="12" borderId="35" xfId="7" applyNumberFormat="1" applyFont="1" applyFill="1" applyBorder="1"/>
    <xf numFmtId="170" fontId="31" fillId="12" borderId="35" xfId="7" applyNumberFormat="1" applyFont="1" applyFill="1" applyBorder="1"/>
    <xf numFmtId="171" fontId="31" fillId="12" borderId="35" xfId="7" applyNumberFormat="1" applyFont="1" applyFill="1" applyBorder="1"/>
    <xf numFmtId="170" fontId="31" fillId="0" borderId="35" xfId="7" applyNumberFormat="1" applyFont="1" applyFill="1" applyBorder="1"/>
    <xf numFmtId="0" fontId="37" fillId="0" borderId="0" xfId="0" applyFont="1"/>
    <xf numFmtId="0" fontId="27" fillId="13" borderId="11" xfId="1" applyFont="1" applyFill="1" applyBorder="1" applyAlignment="1">
      <alignment horizontal="center" vertical="top"/>
    </xf>
    <xf numFmtId="0" fontId="8" fillId="0" borderId="32" xfId="0" applyFont="1" applyBorder="1"/>
    <xf numFmtId="0" fontId="38" fillId="0" borderId="32" xfId="0" applyFont="1" applyBorder="1"/>
    <xf numFmtId="0" fontId="38" fillId="0" borderId="36" xfId="0" applyFont="1" applyBorder="1"/>
    <xf numFmtId="0" fontId="34" fillId="0" borderId="28" xfId="0" applyFont="1" applyBorder="1" applyAlignment="1">
      <alignment horizontal="right"/>
    </xf>
    <xf numFmtId="4" fontId="31" fillId="0" borderId="30" xfId="7" applyNumberFormat="1" applyFont="1" applyFill="1" applyBorder="1"/>
    <xf numFmtId="0" fontId="32" fillId="13" borderId="11" xfId="1" applyFont="1" applyFill="1" applyBorder="1" applyAlignment="1" applyProtection="1">
      <alignment horizontal="left" vertical="top"/>
      <protection locked="0"/>
    </xf>
    <xf numFmtId="0" fontId="38" fillId="0" borderId="0" xfId="0" applyFont="1" applyBorder="1"/>
    <xf numFmtId="0" fontId="21" fillId="0" borderId="28" xfId="7" applyFont="1" applyFill="1" applyBorder="1"/>
    <xf numFmtId="0" fontId="21" fillId="0" borderId="6" xfId="7" applyFont="1" applyFill="1" applyBorder="1"/>
    <xf numFmtId="0" fontId="21" fillId="0" borderId="33" xfId="7" applyFont="1" applyFill="1" applyBorder="1"/>
    <xf numFmtId="0" fontId="21" fillId="11" borderId="31" xfId="7" applyFont="1" applyFill="1" applyBorder="1"/>
    <xf numFmtId="0" fontId="21" fillId="12" borderId="32" xfId="7" applyFont="1" applyFill="1" applyBorder="1"/>
    <xf numFmtId="0" fontId="21" fillId="0" borderId="32" xfId="7" applyFont="1" applyFill="1" applyBorder="1"/>
    <xf numFmtId="0" fontId="9" fillId="5" borderId="11" xfId="1" applyFont="1" applyFill="1" applyBorder="1" applyAlignment="1" applyProtection="1">
      <alignment horizontal="left" vertical="top"/>
      <protection locked="0"/>
    </xf>
    <xf numFmtId="0" fontId="9" fillId="5" borderId="11" xfId="1" applyFont="1" applyFill="1" applyBorder="1" applyAlignment="1">
      <alignment horizontal="left" vertical="top"/>
    </xf>
    <xf numFmtId="0" fontId="41" fillId="0" borderId="0" xfId="0" applyFont="1"/>
    <xf numFmtId="0" fontId="42" fillId="10" borderId="0" xfId="0" applyFont="1" applyFill="1" applyAlignment="1">
      <alignment vertical="center"/>
    </xf>
    <xf numFmtId="0" fontId="41" fillId="10" borderId="0" xfId="0" applyFont="1" applyFill="1"/>
    <xf numFmtId="0" fontId="42" fillId="10" borderId="0" xfId="0" applyFont="1" applyFill="1" applyAlignment="1">
      <alignment vertical="center" wrapText="1"/>
    </xf>
    <xf numFmtId="0" fontId="42" fillId="10" borderId="0" xfId="0" applyFont="1" applyFill="1" applyAlignment="1">
      <alignment horizontal="center" vertical="center" wrapText="1"/>
    </xf>
    <xf numFmtId="0" fontId="44" fillId="10" borderId="0" xfId="0" applyFont="1" applyFill="1" applyAlignment="1">
      <alignment vertical="center" wrapText="1"/>
    </xf>
    <xf numFmtId="0" fontId="36" fillId="0" borderId="0" xfId="0" applyFont="1" applyFill="1" applyAlignment="1">
      <alignment vertical="center" wrapText="1"/>
    </xf>
    <xf numFmtId="0" fontId="30" fillId="0" borderId="0" xfId="0" applyFont="1" applyFill="1"/>
    <xf numFmtId="0" fontId="2" fillId="0" borderId="19" xfId="1" applyFont="1" applyBorder="1" applyAlignment="1">
      <alignment horizontal="center" vertical="center" textRotation="180"/>
    </xf>
    <xf numFmtId="0" fontId="2" fillId="0" borderId="21" xfId="1" applyFont="1" applyBorder="1" applyAlignment="1">
      <alignment horizontal="center" vertical="center" textRotation="180"/>
    </xf>
    <xf numFmtId="0" fontId="2" fillId="0" borderId="24" xfId="1" applyFont="1" applyBorder="1" applyAlignment="1">
      <alignment horizontal="center" vertical="center" textRotation="180"/>
    </xf>
    <xf numFmtId="0" fontId="2" fillId="0" borderId="19" xfId="1" applyFont="1" applyBorder="1" applyAlignment="1">
      <alignment horizontal="center" vertical="center" textRotation="180" wrapText="1"/>
    </xf>
    <xf numFmtId="0" fontId="2" fillId="0" borderId="21" xfId="1" applyFont="1" applyBorder="1" applyAlignment="1">
      <alignment horizontal="center" vertical="center" textRotation="180" wrapText="1"/>
    </xf>
    <xf numFmtId="0" fontId="2" fillId="0" borderId="24" xfId="1" applyFont="1" applyBorder="1" applyAlignment="1">
      <alignment horizontal="center" vertical="center" textRotation="180" wrapText="1"/>
    </xf>
    <xf numFmtId="0" fontId="9" fillId="4" borderId="12" xfId="1" applyFont="1" applyFill="1" applyBorder="1" applyAlignment="1">
      <alignment horizontal="left" vertical="top"/>
    </xf>
    <xf numFmtId="0" fontId="9" fillId="4" borderId="13" xfId="1" applyFont="1" applyFill="1" applyBorder="1" applyAlignment="1">
      <alignment horizontal="left" vertical="top"/>
    </xf>
    <xf numFmtId="0" fontId="27" fillId="0" borderId="0" xfId="1" applyFont="1" applyAlignment="1">
      <alignment vertical="top"/>
    </xf>
    <xf numFmtId="0" fontId="18" fillId="0" borderId="0" xfId="1" applyFont="1" applyAlignment="1">
      <alignment horizontal="left"/>
    </xf>
    <xf numFmtId="0" fontId="20" fillId="0" borderId="25" xfId="1" applyFont="1" applyBorder="1" applyAlignment="1">
      <alignment horizontal="center" vertical="center"/>
    </xf>
    <xf numFmtId="0" fontId="20" fillId="0" borderId="26" xfId="1" applyFont="1" applyBorder="1" applyAlignment="1">
      <alignment horizontal="center" vertical="center"/>
    </xf>
    <xf numFmtId="0" fontId="20" fillId="0" borderId="27" xfId="1" applyFont="1" applyBorder="1" applyAlignment="1">
      <alignment horizontal="center" vertical="center"/>
    </xf>
    <xf numFmtId="0" fontId="14" fillId="6" borderId="12" xfId="1" applyFont="1" applyFill="1" applyBorder="1" applyAlignment="1">
      <alignment horizontal="left" vertical="top"/>
    </xf>
    <xf numFmtId="0" fontId="14" fillId="6" borderId="13" xfId="1" applyFont="1" applyFill="1" applyBorder="1" applyAlignment="1">
      <alignment horizontal="left" vertical="top"/>
    </xf>
    <xf numFmtId="0" fontId="14" fillId="6" borderId="11" xfId="1" applyFont="1" applyFill="1" applyBorder="1" applyAlignment="1">
      <alignment horizontal="left" vertical="top"/>
    </xf>
    <xf numFmtId="0" fontId="18" fillId="0" borderId="0" xfId="1" applyFont="1" applyAlignment="1">
      <alignment horizontal="left" vertical="center"/>
    </xf>
    <xf numFmtId="0" fontId="13" fillId="0" borderId="0" xfId="1" applyFont="1" applyAlignment="1">
      <alignment horizontal="center"/>
    </xf>
    <xf numFmtId="0" fontId="14" fillId="0" borderId="31" xfId="1" applyFont="1" applyBorder="1" applyAlignment="1">
      <alignment horizontal="right" vertical="top" wrapText="1"/>
    </xf>
    <xf numFmtId="0" fontId="0" fillId="0" borderId="32" xfId="0" applyBorder="1" applyAlignment="1"/>
    <xf numFmtId="0" fontId="2" fillId="0" borderId="32" xfId="0" applyFont="1" applyBorder="1" applyAlignment="1"/>
    <xf numFmtId="0" fontId="18" fillId="0" borderId="0" xfId="1" applyFont="1" applyAlignment="1">
      <alignment horizontal="center"/>
    </xf>
    <xf numFmtId="0" fontId="40" fillId="0" borderId="36" xfId="0" applyFont="1" applyFill="1" applyBorder="1" applyAlignment="1">
      <alignment vertical="top" wrapText="1"/>
    </xf>
    <xf numFmtId="0" fontId="40" fillId="0" borderId="0" xfId="0" applyFont="1" applyFill="1" applyAlignment="1">
      <alignment vertical="top" wrapText="1"/>
    </xf>
  </cellXfs>
  <cellStyles count="8">
    <cellStyle name="Check Cell" xfId="6" builtinId="23"/>
    <cellStyle name="Excel Built-in Normal" xfId="1" xr:uid="{00000000-0005-0000-0000-000001000000}"/>
    <cellStyle name="Explanatory Text" xfId="7" builtinId="53"/>
    <cellStyle name="naamloos1" xfId="2" xr:uid="{00000000-0005-0000-0000-000002000000}"/>
    <cellStyle name="Normal" xfId="0" builtinId="0"/>
    <cellStyle name="Normal_201209241545SentPEC berekeningen FEEDAP" xfId="3" xr:uid="{00000000-0005-0000-0000-000003000000}"/>
    <cellStyle name="Percent 2" xfId="4" xr:uid="{00000000-0005-0000-0000-000005000000}"/>
    <cellStyle name="YellowAbove0.1" xfId="5" xr:uid="{00000000-0005-0000-0000-000007000000}"/>
  </cellStyles>
  <dxfs count="12">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patternType="solid">
          <fgColor indexed="60"/>
          <bgColor indexed="10"/>
        </patternFill>
      </fill>
    </dxf>
    <dxf>
      <fill>
        <patternFill patternType="solid">
          <fgColor indexed="60"/>
          <bgColor indexed="10"/>
        </patternFill>
      </fill>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patternType="solid">
          <fgColor indexed="60"/>
          <bgColor indexed="10"/>
        </patternFill>
      </fill>
    </dxf>
    <dxf>
      <fill>
        <patternFill patternType="solid">
          <fgColor indexed="60"/>
          <bgColor indexed="10"/>
        </patternFill>
      </fill>
    </dxf>
  </dxfs>
  <tableStyles count="0" defaultTableStyle="TableStyleMedium2" defaultPivotStyle="PivotStyleLight16"/>
  <colors>
    <mruColors>
      <color rgb="FFFFFF99"/>
      <color rgb="FF43FF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1645427</xdr:colOff>
      <xdr:row>5</xdr:row>
      <xdr:rowOff>33776</xdr:rowOff>
    </xdr:to>
    <xdr:pic>
      <xdr:nvPicPr>
        <xdr:cNvPr id="3" name="Graphic 2">
          <a:extLst>
            <a:ext uri="{FF2B5EF4-FFF2-40B4-BE49-F238E27FC236}">
              <a16:creationId xmlns:a16="http://schemas.microsoft.com/office/drawing/2014/main" id="{E3317934-7030-4912-841E-D2CA2D17E7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199282"/>
          <a:ext cx="1750202" cy="830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1654951</xdr:colOff>
      <xdr:row>4</xdr:row>
      <xdr:rowOff>38538</xdr:rowOff>
    </xdr:to>
    <xdr:pic>
      <xdr:nvPicPr>
        <xdr:cNvPr id="2" name="Graphic 1">
          <a:extLst>
            <a:ext uri="{FF2B5EF4-FFF2-40B4-BE49-F238E27FC236}">
              <a16:creationId xmlns:a16="http://schemas.microsoft.com/office/drawing/2014/main" id="{F216DF4C-56DD-4CED-A1EF-16BA2E31A8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754964" cy="8351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2363</xdr:colOff>
      <xdr:row>4</xdr:row>
      <xdr:rowOff>96986</xdr:rowOff>
    </xdr:to>
    <xdr:pic>
      <xdr:nvPicPr>
        <xdr:cNvPr id="2" name="Graphic 1">
          <a:extLst>
            <a:ext uri="{FF2B5EF4-FFF2-40B4-BE49-F238E27FC236}">
              <a16:creationId xmlns:a16="http://schemas.microsoft.com/office/drawing/2014/main" id="{521B0199-E5C6-499C-A82B-0BB1A54F89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764488" cy="835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1504</xdr:colOff>
      <xdr:row>4</xdr:row>
      <xdr:rowOff>108656</xdr:rowOff>
    </xdr:to>
    <xdr:pic>
      <xdr:nvPicPr>
        <xdr:cNvPr id="3" name="Picture 2">
          <a:extLst>
            <a:ext uri="{FF2B5EF4-FFF2-40B4-BE49-F238E27FC236}">
              <a16:creationId xmlns:a16="http://schemas.microsoft.com/office/drawing/2014/main" id="{2363761F-22DA-4DAF-96E9-D2FB2236D5B7}"/>
            </a:ext>
          </a:extLst>
        </xdr:cNvPr>
        <xdr:cNvPicPr>
          <a:picLocks noChangeAspect="1"/>
        </xdr:cNvPicPr>
      </xdr:nvPicPr>
      <xdr:blipFill>
        <a:blip xmlns:r="http://schemas.openxmlformats.org/officeDocument/2006/relationships" r:embed="rId1"/>
        <a:stretch>
          <a:fillRect/>
        </a:stretch>
      </xdr:blipFill>
      <xdr:spPr>
        <a:xfrm>
          <a:off x="0" y="0"/>
          <a:ext cx="1761897" cy="8230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71"/>
  <sheetViews>
    <sheetView zoomScale="110" zoomScaleNormal="110" workbookViewId="0">
      <selection activeCell="G6" sqref="G6"/>
    </sheetView>
  </sheetViews>
  <sheetFormatPr defaultColWidth="7.85546875" defaultRowHeight="12.75" x14ac:dyDescent="0.2"/>
  <cols>
    <col min="1" max="1" width="24.7109375" style="1" customWidth="1"/>
    <col min="2" max="2" width="27.7109375" style="6" customWidth="1"/>
    <col min="3" max="3" width="9.7109375" style="1" customWidth="1"/>
    <col min="4" max="19" width="8.7109375" style="1" customWidth="1"/>
    <col min="20" max="21" width="2.5703125" style="1" customWidth="1"/>
    <col min="22" max="22" width="18.42578125" style="1" customWidth="1"/>
    <col min="23" max="23" width="11.7109375" style="1" customWidth="1"/>
    <col min="24" max="16384" width="7.85546875" style="1"/>
  </cols>
  <sheetData>
    <row r="1" spans="1:24" ht="15.75" customHeight="1" x14ac:dyDescent="0.35">
      <c r="A1" s="13" t="s">
        <v>0</v>
      </c>
      <c r="B1" s="153" t="s">
        <v>1</v>
      </c>
      <c r="C1" s="153"/>
      <c r="D1" s="55"/>
      <c r="E1" s="77" t="s">
        <v>2</v>
      </c>
      <c r="F1" s="54"/>
      <c r="G1" s="11"/>
      <c r="H1" s="10"/>
      <c r="I1" s="10"/>
      <c r="J1" s="55"/>
      <c r="O1" s="10"/>
      <c r="P1" s="10"/>
      <c r="Q1" s="10"/>
      <c r="R1" s="10"/>
      <c r="S1" s="10"/>
      <c r="T1" s="9"/>
      <c r="U1" s="9"/>
      <c r="V1" s="9"/>
      <c r="W1" s="9"/>
      <c r="X1" s="7"/>
    </row>
    <row r="2" spans="1:24" ht="15.75" customHeight="1" x14ac:dyDescent="0.35">
      <c r="A2" s="9"/>
      <c r="B2" s="38" t="s">
        <v>3</v>
      </c>
      <c r="C2" s="93">
        <v>0</v>
      </c>
      <c r="D2" s="40"/>
      <c r="E2" s="78" t="s">
        <v>4</v>
      </c>
      <c r="F2" s="79"/>
      <c r="G2" s="98">
        <v>0</v>
      </c>
      <c r="H2" s="10"/>
      <c r="I2" s="10"/>
      <c r="J2" s="10"/>
      <c r="O2" s="10"/>
      <c r="P2" s="10"/>
      <c r="Q2" s="10"/>
      <c r="R2" s="10"/>
      <c r="S2" s="10"/>
      <c r="T2" s="9"/>
      <c r="U2" s="9"/>
      <c r="V2" s="9"/>
      <c r="W2" s="9"/>
      <c r="X2" s="7"/>
    </row>
    <row r="3" spans="1:24" ht="15.75" customHeight="1" x14ac:dyDescent="0.35">
      <c r="A3" s="9"/>
      <c r="B3" s="38" t="s">
        <v>5</v>
      </c>
      <c r="C3" s="94">
        <f>10^-9</f>
        <v>1.0000000000000001E-9</v>
      </c>
      <c r="D3" s="42"/>
      <c r="E3" s="151" t="s">
        <v>6</v>
      </c>
      <c r="F3" s="152"/>
      <c r="G3" s="32">
        <f>($W$24+($W$26*$W$27*$C$5/1000*$W$22))/$W$23*G2*1000*$W$23/($W$26*$W$22)</f>
        <v>0</v>
      </c>
      <c r="H3" s="10"/>
      <c r="I3" s="10"/>
      <c r="J3" s="9"/>
      <c r="O3" s="9"/>
      <c r="P3" s="9"/>
      <c r="Q3" s="9"/>
      <c r="R3" s="9"/>
      <c r="S3" s="9"/>
      <c r="T3" s="9"/>
      <c r="U3" s="9"/>
      <c r="V3" s="9"/>
      <c r="W3" s="9"/>
      <c r="X3" s="7"/>
    </row>
    <row r="4" spans="1:24" ht="15.75" customHeight="1" x14ac:dyDescent="0.35">
      <c r="A4" s="9"/>
      <c r="B4" s="38" t="s">
        <v>7</v>
      </c>
      <c r="C4" s="95">
        <v>150</v>
      </c>
      <c r="D4" s="42"/>
      <c r="H4" s="9"/>
      <c r="I4" s="10"/>
      <c r="J4" s="9"/>
      <c r="K4" s="9"/>
      <c r="L4" s="9"/>
      <c r="M4" s="9"/>
      <c r="N4" s="9"/>
      <c r="O4" s="9"/>
      <c r="P4" s="9"/>
      <c r="Q4" s="9"/>
      <c r="R4" s="9"/>
      <c r="S4" s="9"/>
      <c r="T4" s="9"/>
      <c r="U4" s="9"/>
      <c r="V4" s="9"/>
      <c r="W4" s="9"/>
      <c r="X4" s="7"/>
    </row>
    <row r="5" spans="1:24" ht="15.75" customHeight="1" x14ac:dyDescent="0.35">
      <c r="A5" s="9"/>
      <c r="B5" s="38" t="s">
        <v>8</v>
      </c>
      <c r="C5" s="96">
        <v>600</v>
      </c>
      <c r="D5" s="42"/>
      <c r="E5" s="10"/>
      <c r="F5" s="10"/>
      <c r="G5" s="10"/>
      <c r="H5" s="10"/>
      <c r="I5" s="10"/>
      <c r="J5" s="9"/>
      <c r="K5" s="9"/>
      <c r="L5" s="9"/>
      <c r="M5" s="9"/>
      <c r="N5" s="9"/>
      <c r="O5" s="9"/>
      <c r="P5" s="9"/>
      <c r="Q5" s="9"/>
      <c r="R5" s="9"/>
      <c r="S5" s="9"/>
      <c r="T5" s="9"/>
      <c r="U5" s="9"/>
      <c r="V5" s="9"/>
      <c r="W5" s="9"/>
      <c r="X5" s="7"/>
    </row>
    <row r="6" spans="1:24" ht="15.75" customHeight="1" x14ac:dyDescent="0.35">
      <c r="A6" s="9"/>
      <c r="B6" s="38" t="s">
        <v>9</v>
      </c>
      <c r="C6" s="97">
        <v>23.7</v>
      </c>
      <c r="D6" s="42"/>
      <c r="E6" s="10"/>
      <c r="F6" s="10"/>
      <c r="G6" s="10"/>
      <c r="H6" s="10"/>
      <c r="I6" s="10"/>
      <c r="J6" s="9"/>
      <c r="K6" s="9"/>
      <c r="L6" s="9"/>
      <c r="M6" s="9"/>
      <c r="N6" s="9"/>
      <c r="O6" s="9"/>
      <c r="P6" s="9"/>
      <c r="Q6" s="9"/>
      <c r="R6" s="9"/>
      <c r="S6" s="9"/>
      <c r="T6" s="9"/>
      <c r="U6" s="9"/>
      <c r="V6" s="9"/>
      <c r="W6" s="9"/>
      <c r="X6" s="7"/>
    </row>
    <row r="7" spans="1:24" ht="32.65" customHeight="1" x14ac:dyDescent="0.4">
      <c r="A7" s="9"/>
      <c r="B7" s="154" t="s">
        <v>10</v>
      </c>
      <c r="C7" s="154"/>
      <c r="D7" s="154"/>
      <c r="E7" s="154"/>
      <c r="F7" s="154"/>
      <c r="G7" s="154"/>
      <c r="H7" s="154"/>
      <c r="I7" s="154"/>
      <c r="J7" s="154"/>
      <c r="K7" s="154"/>
      <c r="L7" s="154"/>
      <c r="M7" s="154"/>
      <c r="N7" s="154"/>
      <c r="O7" s="154"/>
      <c r="P7" s="154"/>
      <c r="Q7" s="154"/>
      <c r="R7" s="154"/>
      <c r="S7" s="154"/>
      <c r="T7" s="9"/>
      <c r="U7" s="9"/>
      <c r="V7" s="9"/>
      <c r="W7" s="9"/>
      <c r="X7" s="7"/>
    </row>
    <row r="8" spans="1:24" ht="26.25" customHeight="1" x14ac:dyDescent="0.4">
      <c r="A8" s="9"/>
      <c r="B8" s="154" t="s">
        <v>11</v>
      </c>
      <c r="C8" s="154"/>
      <c r="D8" s="154"/>
      <c r="E8" s="154"/>
      <c r="F8" s="154"/>
      <c r="G8" s="154"/>
      <c r="H8" s="154"/>
      <c r="I8" s="154"/>
      <c r="J8" s="154"/>
      <c r="K8" s="154"/>
      <c r="L8" s="154"/>
      <c r="M8" s="154"/>
      <c r="N8" s="154"/>
      <c r="O8" s="154"/>
      <c r="P8" s="154"/>
      <c r="Q8" s="154"/>
      <c r="R8" s="154"/>
      <c r="S8" s="154"/>
      <c r="T8" s="9"/>
      <c r="U8" s="9"/>
      <c r="V8" s="9"/>
      <c r="W8" s="9"/>
      <c r="X8" s="7"/>
    </row>
    <row r="9" spans="1:24" ht="12.75" customHeight="1" x14ac:dyDescent="0.35">
      <c r="A9" s="9"/>
      <c r="B9" s="47" t="s">
        <v>12</v>
      </c>
      <c r="C9" s="46">
        <v>0.05</v>
      </c>
      <c r="D9" s="10"/>
      <c r="E9" s="10"/>
      <c r="F9" s="10"/>
      <c r="G9" s="10"/>
      <c r="H9" s="10"/>
      <c r="I9" s="10"/>
      <c r="J9" s="10"/>
      <c r="K9" s="10"/>
      <c r="L9" s="10"/>
      <c r="M9" s="10"/>
      <c r="N9" s="10"/>
      <c r="O9" s="10"/>
      <c r="P9" s="10"/>
      <c r="Q9" s="10"/>
      <c r="R9" s="10"/>
      <c r="S9" s="10"/>
      <c r="T9" s="9"/>
      <c r="U9" s="9"/>
      <c r="V9" s="9"/>
      <c r="W9" s="9"/>
      <c r="X9" s="7"/>
    </row>
    <row r="10" spans="1:24" ht="12.75" customHeight="1" thickBot="1" x14ac:dyDescent="0.4">
      <c r="A10" s="9"/>
      <c r="B10" s="47" t="s">
        <v>13</v>
      </c>
      <c r="C10" s="46">
        <v>0.2</v>
      </c>
      <c r="D10" s="10"/>
      <c r="E10" s="10"/>
      <c r="F10" s="10"/>
      <c r="G10" s="10"/>
      <c r="H10" s="10"/>
      <c r="I10" s="10"/>
      <c r="J10" s="10"/>
      <c r="K10" s="10"/>
      <c r="L10" s="10"/>
      <c r="M10" s="10"/>
      <c r="N10" s="10"/>
      <c r="O10" s="10"/>
      <c r="P10" s="10"/>
      <c r="Q10" s="10"/>
      <c r="R10" s="10"/>
      <c r="S10" s="10"/>
      <c r="T10" s="9"/>
      <c r="U10" s="9"/>
      <c r="V10" s="9"/>
      <c r="W10" s="9"/>
      <c r="X10" s="7"/>
    </row>
    <row r="11" spans="1:24" s="2" customFormat="1" ht="24.75" customHeight="1" thickBot="1" x14ac:dyDescent="0.25">
      <c r="A11" s="9"/>
      <c r="B11" s="48"/>
      <c r="C11" s="49" t="s">
        <v>14</v>
      </c>
      <c r="D11" s="49" t="s">
        <v>15</v>
      </c>
      <c r="E11" s="49" t="s">
        <v>16</v>
      </c>
      <c r="F11" s="49" t="s">
        <v>17</v>
      </c>
      <c r="G11" s="49" t="s">
        <v>18</v>
      </c>
      <c r="H11" s="49" t="s">
        <v>19</v>
      </c>
      <c r="I11" s="49" t="s">
        <v>20</v>
      </c>
      <c r="J11" s="49" t="s">
        <v>21</v>
      </c>
      <c r="K11" s="49" t="s">
        <v>22</v>
      </c>
      <c r="L11" s="49" t="s">
        <v>23</v>
      </c>
      <c r="M11" s="49" t="s">
        <v>24</v>
      </c>
      <c r="N11" s="49" t="s">
        <v>25</v>
      </c>
      <c r="O11" s="33" t="s">
        <v>26</v>
      </c>
      <c r="P11" s="33" t="s">
        <v>27</v>
      </c>
      <c r="Q11" s="33" t="s">
        <v>28</v>
      </c>
      <c r="R11" s="33" t="s">
        <v>29</v>
      </c>
      <c r="S11" s="33" t="s">
        <v>30</v>
      </c>
      <c r="T11" s="14"/>
      <c r="U11" s="9"/>
      <c r="V11" s="155" t="s">
        <v>31</v>
      </c>
      <c r="W11" s="156"/>
      <c r="X11" s="157"/>
    </row>
    <row r="12" spans="1:24" s="2" customFormat="1" ht="12.75" customHeight="1" x14ac:dyDescent="0.2">
      <c r="A12" s="9"/>
      <c r="B12" s="50" t="s">
        <v>32</v>
      </c>
      <c r="C12" s="99">
        <v>0</v>
      </c>
      <c r="D12" s="99">
        <v>1</v>
      </c>
      <c r="E12" s="99">
        <v>1</v>
      </c>
      <c r="F12" s="99">
        <v>1</v>
      </c>
      <c r="G12" s="99">
        <v>1</v>
      </c>
      <c r="H12" s="99">
        <v>1</v>
      </c>
      <c r="I12" s="99">
        <v>1</v>
      </c>
      <c r="J12" s="99">
        <v>1</v>
      </c>
      <c r="K12" s="99">
        <v>1</v>
      </c>
      <c r="L12" s="99">
        <v>1</v>
      </c>
      <c r="M12" s="99">
        <v>1</v>
      </c>
      <c r="N12" s="99">
        <v>1</v>
      </c>
      <c r="O12" s="99">
        <v>1</v>
      </c>
      <c r="P12" s="99">
        <v>1</v>
      </c>
      <c r="Q12" s="99">
        <v>1</v>
      </c>
      <c r="R12" s="99">
        <v>1</v>
      </c>
      <c r="S12" s="99">
        <v>1</v>
      </c>
      <c r="T12" s="14"/>
      <c r="U12" s="9"/>
      <c r="V12" s="80" t="s">
        <v>33</v>
      </c>
      <c r="W12" s="81">
        <v>170</v>
      </c>
      <c r="X12" s="145" t="s">
        <v>34</v>
      </c>
    </row>
    <row r="13" spans="1:24" s="2" customFormat="1" ht="15" x14ac:dyDescent="0.2">
      <c r="A13" s="9"/>
      <c r="B13" s="51" t="s">
        <v>35</v>
      </c>
      <c r="C13" s="52">
        <v>296</v>
      </c>
      <c r="D13" s="53">
        <v>800</v>
      </c>
      <c r="E13" s="52">
        <v>1140</v>
      </c>
      <c r="F13" s="52">
        <v>4050</v>
      </c>
      <c r="G13" s="52">
        <v>730</v>
      </c>
      <c r="H13" s="52">
        <v>6584</v>
      </c>
      <c r="I13" s="52">
        <v>273</v>
      </c>
      <c r="J13" s="52">
        <v>267</v>
      </c>
      <c r="K13" s="52">
        <v>607</v>
      </c>
      <c r="L13" s="52">
        <v>580</v>
      </c>
      <c r="M13" s="52">
        <v>714</v>
      </c>
      <c r="N13" s="52">
        <v>22</v>
      </c>
      <c r="O13" s="36">
        <v>42</v>
      </c>
      <c r="P13" s="36">
        <v>70</v>
      </c>
      <c r="Q13" s="37">
        <v>30</v>
      </c>
      <c r="R13" s="36">
        <v>3650</v>
      </c>
      <c r="S13" s="36">
        <v>2385</v>
      </c>
      <c r="T13" s="14"/>
      <c r="U13" s="9"/>
      <c r="V13" s="82" t="s">
        <v>36</v>
      </c>
      <c r="W13" s="31">
        <v>1500</v>
      </c>
      <c r="X13" s="146"/>
    </row>
    <row r="14" spans="1:24" s="2" customFormat="1" ht="16.5" thickBot="1" x14ac:dyDescent="0.3">
      <c r="A14" s="9"/>
      <c r="B14" s="51" t="s">
        <v>37</v>
      </c>
      <c r="C14" s="52">
        <v>4</v>
      </c>
      <c r="D14" s="52">
        <v>9</v>
      </c>
      <c r="E14" s="52">
        <v>23</v>
      </c>
      <c r="F14" s="52">
        <v>54</v>
      </c>
      <c r="G14" s="52">
        <v>11</v>
      </c>
      <c r="H14" s="52">
        <v>125</v>
      </c>
      <c r="I14" s="52">
        <v>5</v>
      </c>
      <c r="J14" s="52">
        <v>5</v>
      </c>
      <c r="K14" s="52">
        <v>10</v>
      </c>
      <c r="L14" s="52">
        <v>10</v>
      </c>
      <c r="M14" s="52">
        <v>16.399999999999999</v>
      </c>
      <c r="N14" s="52">
        <v>0.33</v>
      </c>
      <c r="O14" s="36">
        <v>0.8</v>
      </c>
      <c r="P14" s="36">
        <v>1</v>
      </c>
      <c r="Q14" s="36">
        <v>0.5</v>
      </c>
      <c r="R14" s="36">
        <v>58</v>
      </c>
      <c r="S14" s="36">
        <v>43</v>
      </c>
      <c r="T14" s="15"/>
      <c r="U14" s="9"/>
      <c r="V14" s="82" t="s">
        <v>38</v>
      </c>
      <c r="W14" s="31">
        <v>10000</v>
      </c>
      <c r="X14" s="146"/>
    </row>
    <row r="15" spans="1:24" s="2" customFormat="1" ht="16.5" thickBot="1" x14ac:dyDescent="0.3">
      <c r="A15" s="29" t="s">
        <v>39</v>
      </c>
      <c r="B15" s="23" t="s">
        <v>40</v>
      </c>
      <c r="C15" s="24">
        <f>C12*C13/C14</f>
        <v>0</v>
      </c>
      <c r="D15" s="24">
        <f t="shared" ref="D15:S15" si="0">D12*D13/D14</f>
        <v>88.888888888888886</v>
      </c>
      <c r="E15" s="24">
        <f t="shared" si="0"/>
        <v>49.565217391304351</v>
      </c>
      <c r="F15" s="24">
        <f t="shared" si="0"/>
        <v>75</v>
      </c>
      <c r="G15" s="24">
        <f t="shared" si="0"/>
        <v>66.36363636363636</v>
      </c>
      <c r="H15" s="24">
        <f t="shared" si="0"/>
        <v>52.671999999999997</v>
      </c>
      <c r="I15" s="24">
        <f t="shared" si="0"/>
        <v>54.6</v>
      </c>
      <c r="J15" s="24">
        <f t="shared" si="0"/>
        <v>53.4</v>
      </c>
      <c r="K15" s="24">
        <f t="shared" si="0"/>
        <v>60.7</v>
      </c>
      <c r="L15" s="24">
        <f t="shared" si="0"/>
        <v>58</v>
      </c>
      <c r="M15" s="24">
        <f t="shared" si="0"/>
        <v>43.536585365853661</v>
      </c>
      <c r="N15" s="24">
        <f t="shared" si="0"/>
        <v>66.666666666666657</v>
      </c>
      <c r="O15" s="24">
        <f t="shared" si="0"/>
        <v>52.5</v>
      </c>
      <c r="P15" s="24">
        <f t="shared" si="0"/>
        <v>70</v>
      </c>
      <c r="Q15" s="24">
        <f t="shared" si="0"/>
        <v>60</v>
      </c>
      <c r="R15" s="24">
        <f t="shared" si="0"/>
        <v>62.931034482758619</v>
      </c>
      <c r="S15" s="24">
        <f t="shared" si="0"/>
        <v>55.465116279069768</v>
      </c>
      <c r="T15" s="16"/>
      <c r="U15" s="9"/>
      <c r="V15" s="82" t="s">
        <v>41</v>
      </c>
      <c r="W15" s="31">
        <v>1700</v>
      </c>
      <c r="X15" s="146"/>
    </row>
    <row r="16" spans="1:24" s="2" customFormat="1" ht="28.5" customHeight="1" thickBot="1" x14ac:dyDescent="0.25">
      <c r="A16" s="34" t="s">
        <v>42</v>
      </c>
      <c r="B16" s="85" t="s">
        <v>43</v>
      </c>
      <c r="C16" s="86">
        <f>((C15*$W$12)/($W$13*$W$14*$C$9))*1000</f>
        <v>0</v>
      </c>
      <c r="D16" s="75">
        <f>((D15*$W$12)/($W$13*$W$14*$C$9))*1000</f>
        <v>20.148148148148149</v>
      </c>
      <c r="E16" s="75">
        <f t="shared" ref="E16:S16" si="1">((E15*$W$12)/($W$13*$W$14*$C$9))*1000</f>
        <v>11.234782608695653</v>
      </c>
      <c r="F16" s="75">
        <f t="shared" si="1"/>
        <v>17</v>
      </c>
      <c r="G16" s="75">
        <f t="shared" si="1"/>
        <v>15.042424242424243</v>
      </c>
      <c r="H16" s="75">
        <f t="shared" si="1"/>
        <v>11.938986666666667</v>
      </c>
      <c r="I16" s="75">
        <f t="shared" si="1"/>
        <v>12.375999999999999</v>
      </c>
      <c r="J16" s="75">
        <f t="shared" si="1"/>
        <v>12.104000000000001</v>
      </c>
      <c r="K16" s="75">
        <f t="shared" si="1"/>
        <v>13.758666666666667</v>
      </c>
      <c r="L16" s="75">
        <f t="shared" si="1"/>
        <v>13.146666666666667</v>
      </c>
      <c r="M16" s="75">
        <f t="shared" si="1"/>
        <v>9.86829268292683</v>
      </c>
      <c r="N16" s="75">
        <f t="shared" si="1"/>
        <v>15.111111111111111</v>
      </c>
      <c r="O16" s="75">
        <f t="shared" si="1"/>
        <v>11.9</v>
      </c>
      <c r="P16" s="75">
        <f t="shared" si="1"/>
        <v>15.866666666666667</v>
      </c>
      <c r="Q16" s="75">
        <f t="shared" si="1"/>
        <v>13.6</v>
      </c>
      <c r="R16" s="75">
        <f t="shared" si="1"/>
        <v>14.264367816091955</v>
      </c>
      <c r="S16" s="76">
        <f t="shared" si="1"/>
        <v>12.572093023255814</v>
      </c>
      <c r="T16" s="17"/>
      <c r="U16" s="9"/>
      <c r="V16" s="82" t="s">
        <v>44</v>
      </c>
      <c r="W16" s="31">
        <v>8.3140000000000001</v>
      </c>
      <c r="X16" s="146"/>
    </row>
    <row r="17" spans="1:24" s="2" customFormat="1" x14ac:dyDescent="0.2">
      <c r="A17" s="21"/>
      <c r="B17" s="25" t="s">
        <v>45</v>
      </c>
      <c r="C17" s="87">
        <f>C16*EXP((-LN(2)*365)/$C$6)</f>
        <v>0</v>
      </c>
      <c r="D17" s="87">
        <f>D16*EXP((-LN(2)*365)/$C$6)</f>
        <v>4.6571386589991924E-4</v>
      </c>
      <c r="E17" s="87">
        <f t="shared" ref="E17:S17" si="2">E16*EXP((-LN(2)*365)/$C$6)</f>
        <v>2.5968610131158539E-4</v>
      </c>
      <c r="F17" s="87">
        <f t="shared" si="2"/>
        <v>3.9294607435305683E-4</v>
      </c>
      <c r="G17" s="87">
        <f t="shared" si="2"/>
        <v>3.4769773851846242E-4</v>
      </c>
      <c r="H17" s="87">
        <f t="shared" si="2"/>
        <v>2.7596340837765613E-4</v>
      </c>
      <c r="I17" s="87">
        <f t="shared" si="2"/>
        <v>2.8606474212902538E-4</v>
      </c>
      <c r="J17" s="87">
        <f t="shared" si="2"/>
        <v>2.7977760493937647E-4</v>
      </c>
      <c r="K17" s="87">
        <f t="shared" si="2"/>
        <v>3.180243561764073E-4</v>
      </c>
      <c r="L17" s="87">
        <f t="shared" si="2"/>
        <v>3.0387829749969729E-4</v>
      </c>
      <c r="M17" s="87">
        <f t="shared" si="2"/>
        <v>2.2810040413665252E-4</v>
      </c>
      <c r="N17" s="87">
        <f t="shared" si="2"/>
        <v>3.4928539942493937E-4</v>
      </c>
      <c r="O17" s="87">
        <f t="shared" si="2"/>
        <v>2.750622520471398E-4</v>
      </c>
      <c r="P17" s="87">
        <f t="shared" si="2"/>
        <v>3.6674966939618636E-4</v>
      </c>
      <c r="Q17" s="87">
        <f t="shared" si="2"/>
        <v>3.1435685948244546E-4</v>
      </c>
      <c r="R17" s="87">
        <f t="shared" si="2"/>
        <v>3.2971337273302471E-4</v>
      </c>
      <c r="S17" s="87">
        <f t="shared" si="2"/>
        <v>2.9059732940528389E-4</v>
      </c>
      <c r="T17" s="9"/>
      <c r="U17" s="9"/>
      <c r="V17" s="82" t="s">
        <v>46</v>
      </c>
      <c r="W17" s="31">
        <v>285</v>
      </c>
      <c r="X17" s="146"/>
    </row>
    <row r="18" spans="1:24" s="2" customFormat="1" ht="15.75" x14ac:dyDescent="0.25">
      <c r="A18" s="21"/>
      <c r="B18" s="25" t="s">
        <v>47</v>
      </c>
      <c r="C18" s="87" t="e">
        <f>(C16-C17)/C16</f>
        <v>#DIV/0!</v>
      </c>
      <c r="D18" s="87">
        <f t="shared" ref="D18:S18" si="3">(D16-D17)/D16</f>
        <v>0.99997688552503805</v>
      </c>
      <c r="E18" s="87">
        <f t="shared" si="3"/>
        <v>0.99997688552503794</v>
      </c>
      <c r="F18" s="87">
        <f t="shared" si="3"/>
        <v>0.99997688552503805</v>
      </c>
      <c r="G18" s="87">
        <f t="shared" si="3"/>
        <v>0.99997688552503805</v>
      </c>
      <c r="H18" s="87">
        <f t="shared" si="3"/>
        <v>0.99997688552503805</v>
      </c>
      <c r="I18" s="87">
        <f t="shared" si="3"/>
        <v>0.99997688552503805</v>
      </c>
      <c r="J18" s="87">
        <f t="shared" si="3"/>
        <v>0.99997688552503805</v>
      </c>
      <c r="K18" s="87">
        <f t="shared" si="3"/>
        <v>0.99997688552503805</v>
      </c>
      <c r="L18" s="87">
        <f t="shared" si="3"/>
        <v>0.99997688552503805</v>
      </c>
      <c r="M18" s="87">
        <f t="shared" si="3"/>
        <v>0.99997688552503805</v>
      </c>
      <c r="N18" s="87">
        <f t="shared" si="3"/>
        <v>0.99997688552503805</v>
      </c>
      <c r="O18" s="87">
        <f t="shared" si="3"/>
        <v>0.99997688552503805</v>
      </c>
      <c r="P18" s="87">
        <f t="shared" si="3"/>
        <v>0.99997688552503805</v>
      </c>
      <c r="Q18" s="87">
        <f t="shared" si="3"/>
        <v>0.99997688552503805</v>
      </c>
      <c r="R18" s="87">
        <f t="shared" si="3"/>
        <v>0.99997688552503816</v>
      </c>
      <c r="S18" s="87">
        <f t="shared" si="3"/>
        <v>0.99997688552503805</v>
      </c>
      <c r="T18" s="9"/>
      <c r="U18" s="9"/>
      <c r="V18" s="82" t="s">
        <v>48</v>
      </c>
      <c r="W18" s="31">
        <v>0.6</v>
      </c>
      <c r="X18" s="146"/>
    </row>
    <row r="19" spans="1:24" s="2" customFormat="1" ht="14.25" x14ac:dyDescent="0.25">
      <c r="A19" s="21"/>
      <c r="B19" s="25" t="s">
        <v>49</v>
      </c>
      <c r="C19" s="87" t="e">
        <f t="shared" ref="C19:S19" si="4">C16/C18</f>
        <v>#DIV/0!</v>
      </c>
      <c r="D19" s="87">
        <f t="shared" si="4"/>
        <v>20.14861387277903</v>
      </c>
      <c r="E19" s="87">
        <f t="shared" si="4"/>
        <v>11.235042300799613</v>
      </c>
      <c r="F19" s="87">
        <f t="shared" si="4"/>
        <v>17.000392955157306</v>
      </c>
      <c r="G19" s="87">
        <f t="shared" si="4"/>
        <v>15.042771948199798</v>
      </c>
      <c r="H19" s="87">
        <f t="shared" si="4"/>
        <v>11.939262636453941</v>
      </c>
      <c r="I19" s="87">
        <f t="shared" si="4"/>
        <v>12.376286071354517</v>
      </c>
      <c r="J19" s="87">
        <f t="shared" si="4"/>
        <v>12.104279784072002</v>
      </c>
      <c r="K19" s="87">
        <f t="shared" si="4"/>
        <v>13.758984698373979</v>
      </c>
      <c r="L19" s="87">
        <f t="shared" si="4"/>
        <v>13.146970551988316</v>
      </c>
      <c r="M19" s="87">
        <f t="shared" si="4"/>
        <v>9.8685207886035098</v>
      </c>
      <c r="N19" s="87">
        <f t="shared" si="4"/>
        <v>15.111460404584271</v>
      </c>
      <c r="O19" s="87">
        <f t="shared" si="4"/>
        <v>11.900275068610114</v>
      </c>
      <c r="P19" s="87">
        <f t="shared" si="4"/>
        <v>15.867033424813485</v>
      </c>
      <c r="Q19" s="87">
        <f t="shared" si="4"/>
        <v>13.600314364125843</v>
      </c>
      <c r="R19" s="87">
        <f t="shared" si="4"/>
        <v>14.264697537086015</v>
      </c>
      <c r="S19" s="87">
        <f t="shared" si="4"/>
        <v>12.572383627302379</v>
      </c>
      <c r="T19" s="18"/>
      <c r="U19" s="9"/>
      <c r="V19" s="82" t="s">
        <v>50</v>
      </c>
      <c r="W19" s="31">
        <v>0.2</v>
      </c>
      <c r="X19" s="146"/>
    </row>
    <row r="20" spans="1:24" s="2" customFormat="1" ht="14.25" x14ac:dyDescent="0.25">
      <c r="A20" s="21"/>
      <c r="B20" s="25" t="s">
        <v>51</v>
      </c>
      <c r="C20" s="87">
        <f>C15*$W$12/($W$15*$W$14*$C$10)*1000</f>
        <v>0</v>
      </c>
      <c r="D20" s="87">
        <f>D15*$W$12/($W$15*$W$14*$C$10)*1000</f>
        <v>4.4444444444444446</v>
      </c>
      <c r="E20" s="87">
        <f t="shared" ref="E20:S20" si="5">E15*$W$12/($W$15*$W$14*$C$10)*1000</f>
        <v>2.4782608695652173</v>
      </c>
      <c r="F20" s="87">
        <f t="shared" si="5"/>
        <v>3.75</v>
      </c>
      <c r="G20" s="87">
        <f t="shared" si="5"/>
        <v>3.3181818181818183</v>
      </c>
      <c r="H20" s="87">
        <f t="shared" si="5"/>
        <v>2.6335999999999999</v>
      </c>
      <c r="I20" s="87">
        <f t="shared" si="5"/>
        <v>2.73</v>
      </c>
      <c r="J20" s="87">
        <f t="shared" si="5"/>
        <v>2.67</v>
      </c>
      <c r="K20" s="87">
        <f t="shared" si="5"/>
        <v>3.0350000000000001</v>
      </c>
      <c r="L20" s="87">
        <f t="shared" si="5"/>
        <v>2.9</v>
      </c>
      <c r="M20" s="87">
        <f t="shared" si="5"/>
        <v>2.1768292682926833</v>
      </c>
      <c r="N20" s="87">
        <f t="shared" si="5"/>
        <v>3.333333333333333</v>
      </c>
      <c r="O20" s="87">
        <f t="shared" si="5"/>
        <v>2.625</v>
      </c>
      <c r="P20" s="87">
        <f t="shared" si="5"/>
        <v>3.5</v>
      </c>
      <c r="Q20" s="87">
        <f t="shared" si="5"/>
        <v>3</v>
      </c>
      <c r="R20" s="87">
        <f t="shared" si="5"/>
        <v>3.146551724137931</v>
      </c>
      <c r="S20" s="87">
        <f t="shared" si="5"/>
        <v>2.7732558139534884</v>
      </c>
      <c r="T20" s="18"/>
      <c r="U20" s="9"/>
      <c r="V20" s="82" t="s">
        <v>52</v>
      </c>
      <c r="W20" s="31">
        <v>0.2</v>
      </c>
      <c r="X20" s="146"/>
    </row>
    <row r="21" spans="1:24" s="2" customFormat="1" ht="15" thickBot="1" x14ac:dyDescent="0.3">
      <c r="A21" s="21"/>
      <c r="B21" s="25" t="s">
        <v>53</v>
      </c>
      <c r="C21" s="87" t="e">
        <f t="shared" ref="C21:S21" si="6">C20/C18</f>
        <v>#DIV/0!</v>
      </c>
      <c r="D21" s="87">
        <f t="shared" si="6"/>
        <v>4.4445471778189036</v>
      </c>
      <c r="E21" s="87">
        <f t="shared" si="6"/>
        <v>2.4783181545881496</v>
      </c>
      <c r="F21" s="87">
        <f t="shared" si="6"/>
        <v>3.7500866812846998</v>
      </c>
      <c r="G21" s="87">
        <f t="shared" si="6"/>
        <v>3.3182585179852495</v>
      </c>
      <c r="H21" s="87">
        <f t="shared" si="6"/>
        <v>2.6336608756883693</v>
      </c>
      <c r="I21" s="87">
        <f t="shared" si="6"/>
        <v>2.7300631039752612</v>
      </c>
      <c r="J21" s="87">
        <f t="shared" si="6"/>
        <v>2.6700617170747063</v>
      </c>
      <c r="K21" s="87">
        <f t="shared" si="6"/>
        <v>3.0350701540530838</v>
      </c>
      <c r="L21" s="87">
        <f t="shared" si="6"/>
        <v>2.9000670335268341</v>
      </c>
      <c r="M21" s="87">
        <f t="shared" si="6"/>
        <v>2.1768795857213625</v>
      </c>
      <c r="N21" s="87">
        <f t="shared" si="6"/>
        <v>3.3334103833641771</v>
      </c>
      <c r="O21" s="87">
        <f t="shared" si="6"/>
        <v>2.6250606768992899</v>
      </c>
      <c r="P21" s="87">
        <f t="shared" si="6"/>
        <v>3.5000809025323862</v>
      </c>
      <c r="Q21" s="87">
        <f t="shared" si="6"/>
        <v>3.0000693450277596</v>
      </c>
      <c r="R21" s="87">
        <f t="shared" si="6"/>
        <v>3.1466244567101498</v>
      </c>
      <c r="S21" s="87">
        <f t="shared" si="6"/>
        <v>2.7733199177872896</v>
      </c>
      <c r="T21" s="9"/>
      <c r="U21" s="9"/>
      <c r="V21" s="82" t="s">
        <v>54</v>
      </c>
      <c r="W21" s="31">
        <v>0.02</v>
      </c>
      <c r="X21" s="146"/>
    </row>
    <row r="22" spans="1:24" s="2" customFormat="1" ht="28.5" customHeight="1" thickBot="1" x14ac:dyDescent="0.3">
      <c r="A22" s="35" t="s">
        <v>55</v>
      </c>
      <c r="B22" s="85" t="s">
        <v>56</v>
      </c>
      <c r="C22" s="86">
        <f>C20*$W$15/($W$29*1000)</f>
        <v>0</v>
      </c>
      <c r="D22" s="75">
        <f>D20*$W$15/($W$29*1000)</f>
        <v>0.41514041514041516</v>
      </c>
      <c r="E22" s="75">
        <f t="shared" ref="E22:S22" si="7">E20*$W$15/($W$29*1000)</f>
        <v>0.23148590539894884</v>
      </c>
      <c r="F22" s="75">
        <f t="shared" si="7"/>
        <v>0.35027472527472525</v>
      </c>
      <c r="G22" s="75">
        <f t="shared" si="7"/>
        <v>0.30994005994005996</v>
      </c>
      <c r="H22" s="75">
        <f t="shared" si="7"/>
        <v>0.24599560439560439</v>
      </c>
      <c r="I22" s="75">
        <f t="shared" si="7"/>
        <v>0.255</v>
      </c>
      <c r="J22" s="75">
        <f t="shared" si="7"/>
        <v>0.2493956043956044</v>
      </c>
      <c r="K22" s="75">
        <f t="shared" si="7"/>
        <v>0.28348901098901097</v>
      </c>
      <c r="L22" s="75">
        <f t="shared" si="7"/>
        <v>0.27087912087912086</v>
      </c>
      <c r="M22" s="75">
        <f t="shared" si="7"/>
        <v>0.20333020637898691</v>
      </c>
      <c r="N22" s="75">
        <f t="shared" si="7"/>
        <v>0.3113553113553113</v>
      </c>
      <c r="O22" s="75">
        <f t="shared" si="7"/>
        <v>0.24519230769230768</v>
      </c>
      <c r="P22" s="75">
        <f t="shared" si="7"/>
        <v>0.32692307692307693</v>
      </c>
      <c r="Q22" s="75">
        <f t="shared" si="7"/>
        <v>0.28021978021978022</v>
      </c>
      <c r="R22" s="75">
        <f t="shared" si="7"/>
        <v>0.29390867752936717</v>
      </c>
      <c r="S22" s="76">
        <f t="shared" si="7"/>
        <v>0.25904037822642473</v>
      </c>
      <c r="T22" s="9"/>
      <c r="U22" s="9"/>
      <c r="V22" s="82" t="s">
        <v>57</v>
      </c>
      <c r="W22" s="31">
        <v>2500</v>
      </c>
      <c r="X22" s="146"/>
    </row>
    <row r="23" spans="1:24" s="2" customFormat="1" ht="15.75" x14ac:dyDescent="0.25">
      <c r="A23" s="7"/>
      <c r="B23" s="7"/>
      <c r="C23" s="7"/>
      <c r="D23" s="7"/>
      <c r="E23" s="7"/>
      <c r="F23" s="7"/>
      <c r="G23" s="7"/>
      <c r="H23" s="7"/>
      <c r="I23" s="7"/>
      <c r="J23" s="7"/>
      <c r="K23" s="7"/>
      <c r="L23" s="7"/>
      <c r="M23" s="7"/>
      <c r="N23" s="7"/>
      <c r="O23" s="7"/>
      <c r="P23" s="7"/>
      <c r="Q23" s="7"/>
      <c r="R23" s="7"/>
      <c r="S23" s="7"/>
      <c r="T23" s="9"/>
      <c r="U23" s="9"/>
      <c r="V23" s="82" t="s">
        <v>58</v>
      </c>
      <c r="W23" s="31">
        <v>1150</v>
      </c>
      <c r="X23" s="146"/>
    </row>
    <row r="24" spans="1:24" s="2" customFormat="1" x14ac:dyDescent="0.2">
      <c r="A24" s="7"/>
      <c r="B24" s="7"/>
      <c r="C24" s="7"/>
      <c r="D24" s="7"/>
      <c r="E24" s="7"/>
      <c r="F24" s="7"/>
      <c r="G24" s="7"/>
      <c r="H24" s="7"/>
      <c r="I24" s="7"/>
      <c r="J24" s="7"/>
      <c r="K24" s="7"/>
      <c r="L24" s="7"/>
      <c r="M24" s="7"/>
      <c r="N24" s="7"/>
      <c r="O24" s="7"/>
      <c r="P24" s="7"/>
      <c r="Q24" s="7"/>
      <c r="R24" s="7"/>
      <c r="S24" s="7"/>
      <c r="T24" s="9"/>
      <c r="U24" s="9"/>
      <c r="V24" s="82" t="s">
        <v>59</v>
      </c>
      <c r="W24" s="31">
        <v>0.9</v>
      </c>
      <c r="X24" s="146"/>
    </row>
    <row r="25" spans="1:24" s="2" customFormat="1" ht="15" x14ac:dyDescent="0.2">
      <c r="A25" s="7"/>
      <c r="B25" s="7"/>
      <c r="C25" s="7"/>
      <c r="D25" s="7"/>
      <c r="E25" s="7"/>
      <c r="F25" s="7"/>
      <c r="G25" s="7"/>
      <c r="H25" s="7"/>
      <c r="I25" s="7"/>
      <c r="J25" s="7"/>
      <c r="K25" s="7"/>
      <c r="L25" s="7"/>
      <c r="M25" s="7"/>
      <c r="N25" s="7"/>
      <c r="O25" s="7"/>
      <c r="P25" s="7"/>
      <c r="Q25" s="7"/>
      <c r="R25" s="7"/>
      <c r="S25" s="7"/>
      <c r="T25" s="9"/>
      <c r="U25" s="9"/>
      <c r="V25" s="82" t="s">
        <v>60</v>
      </c>
      <c r="W25" s="31">
        <v>1000</v>
      </c>
      <c r="X25" s="146"/>
    </row>
    <row r="26" spans="1:24" s="2" customFormat="1" x14ac:dyDescent="0.2">
      <c r="A26" s="7"/>
      <c r="B26" s="7"/>
      <c r="C26" s="7"/>
      <c r="D26" s="7"/>
      <c r="E26" s="7"/>
      <c r="F26" s="7"/>
      <c r="G26" s="7"/>
      <c r="H26" s="7"/>
      <c r="I26" s="7"/>
      <c r="J26" s="7"/>
      <c r="K26" s="7"/>
      <c r="L26" s="7"/>
      <c r="M26" s="7"/>
      <c r="N26" s="7"/>
      <c r="O26" s="7"/>
      <c r="P26" s="7"/>
      <c r="Q26" s="7"/>
      <c r="R26" s="7"/>
      <c r="S26" s="7"/>
      <c r="T26" s="9"/>
      <c r="U26" s="9"/>
      <c r="V26" s="82" t="s">
        <v>61</v>
      </c>
      <c r="W26" s="31">
        <v>0.1</v>
      </c>
      <c r="X26" s="146"/>
    </row>
    <row r="27" spans="1:24" s="2" customFormat="1" ht="13.5" thickBot="1" x14ac:dyDescent="0.25">
      <c r="A27" s="7"/>
      <c r="B27" s="7"/>
      <c r="C27" s="7"/>
      <c r="D27" s="7"/>
      <c r="E27" s="7"/>
      <c r="F27" s="7"/>
      <c r="G27" s="7"/>
      <c r="H27" s="7"/>
      <c r="I27" s="7"/>
      <c r="J27" s="7"/>
      <c r="K27" s="7"/>
      <c r="L27" s="7"/>
      <c r="M27" s="7"/>
      <c r="N27" s="7"/>
      <c r="O27" s="7"/>
      <c r="P27" s="7"/>
      <c r="Q27" s="7"/>
      <c r="R27" s="7"/>
      <c r="S27" s="7"/>
      <c r="T27" s="9"/>
      <c r="U27" s="9"/>
      <c r="V27" s="83" t="s">
        <v>62</v>
      </c>
      <c r="W27" s="84">
        <v>0.1</v>
      </c>
      <c r="X27" s="147"/>
    </row>
    <row r="28" spans="1:24" s="2" customFormat="1" ht="15.75" customHeight="1" x14ac:dyDescent="0.25">
      <c r="A28" s="7"/>
      <c r="B28" s="7"/>
      <c r="C28" s="7"/>
      <c r="D28" s="7"/>
      <c r="E28" s="7"/>
      <c r="F28" s="7"/>
      <c r="G28" s="7"/>
      <c r="H28" s="7"/>
      <c r="I28" s="7"/>
      <c r="J28" s="7"/>
      <c r="K28" s="7"/>
      <c r="L28" s="7"/>
      <c r="M28" s="7"/>
      <c r="N28" s="7"/>
      <c r="O28" s="7"/>
      <c r="P28" s="7"/>
      <c r="Q28" s="7"/>
      <c r="R28" s="7"/>
      <c r="S28" s="7"/>
      <c r="T28" s="14"/>
      <c r="U28" s="9"/>
      <c r="V28" s="80" t="s">
        <v>63</v>
      </c>
      <c r="W28" s="81">
        <f>C5*W21</f>
        <v>12</v>
      </c>
      <c r="X28" s="148" t="s">
        <v>64</v>
      </c>
    </row>
    <row r="29" spans="1:24" s="2" customFormat="1" ht="15.75" x14ac:dyDescent="0.25">
      <c r="A29" s="7"/>
      <c r="B29" s="7"/>
      <c r="C29" s="7"/>
      <c r="D29" s="7"/>
      <c r="E29" s="7"/>
      <c r="F29" s="7"/>
      <c r="G29" s="7"/>
      <c r="H29" s="7"/>
      <c r="I29" s="7"/>
      <c r="J29" s="7"/>
      <c r="K29" s="7"/>
      <c r="L29" s="7"/>
      <c r="M29" s="7"/>
      <c r="N29" s="7"/>
      <c r="O29" s="7"/>
      <c r="P29" s="7"/>
      <c r="Q29" s="7"/>
      <c r="R29" s="7"/>
      <c r="S29" s="7"/>
      <c r="T29" s="19"/>
      <c r="U29" s="9"/>
      <c r="V29" s="82" t="s">
        <v>65</v>
      </c>
      <c r="W29" s="31">
        <f>(W20*W30)+W19+(W18*(W28/1000)*W22)</f>
        <v>18.2</v>
      </c>
      <c r="X29" s="149"/>
    </row>
    <row r="30" spans="1:24" s="2" customFormat="1" ht="15.75" x14ac:dyDescent="0.25">
      <c r="A30" s="7"/>
      <c r="B30" s="7"/>
      <c r="C30" s="7"/>
      <c r="D30" s="7"/>
      <c r="E30" s="7"/>
      <c r="F30" s="7"/>
      <c r="G30" s="7"/>
      <c r="H30" s="7"/>
      <c r="I30" s="7"/>
      <c r="J30" s="7"/>
      <c r="K30" s="7"/>
      <c r="L30" s="7"/>
      <c r="M30" s="7"/>
      <c r="N30" s="7"/>
      <c r="O30" s="7"/>
      <c r="P30" s="7"/>
      <c r="Q30" s="7"/>
      <c r="R30" s="7"/>
      <c r="S30" s="7"/>
      <c r="T30" s="14"/>
      <c r="U30" s="9"/>
      <c r="V30" s="82" t="s">
        <v>66</v>
      </c>
      <c r="W30" s="31">
        <f>(C2*C3)/(C4*W16*W17)</f>
        <v>0</v>
      </c>
      <c r="X30" s="149"/>
    </row>
    <row r="31" spans="1:24" s="2" customFormat="1" ht="15" x14ac:dyDescent="0.2">
      <c r="A31" s="7"/>
      <c r="B31" s="7"/>
      <c r="C31" s="7"/>
      <c r="D31" s="7"/>
      <c r="E31" s="7"/>
      <c r="F31" s="7"/>
      <c r="G31" s="7"/>
      <c r="H31" s="7"/>
      <c r="I31" s="7"/>
      <c r="J31" s="7"/>
      <c r="K31" s="7"/>
      <c r="L31" s="7"/>
      <c r="M31" s="7"/>
      <c r="N31" s="7"/>
      <c r="O31" s="7"/>
      <c r="P31" s="7"/>
      <c r="Q31" s="7"/>
      <c r="R31" s="7"/>
      <c r="S31" s="7"/>
      <c r="T31" s="14"/>
      <c r="U31" s="9"/>
      <c r="V31" s="82" t="s">
        <v>67</v>
      </c>
      <c r="W31" s="31">
        <f>C5*W27</f>
        <v>60</v>
      </c>
      <c r="X31" s="149"/>
    </row>
    <row r="32" spans="1:24" s="2" customFormat="1" ht="16.5" thickBot="1" x14ac:dyDescent="0.3">
      <c r="A32" s="7"/>
      <c r="B32" s="7"/>
      <c r="C32" s="7"/>
      <c r="D32" s="7"/>
      <c r="E32" s="7"/>
      <c r="F32" s="7"/>
      <c r="G32" s="7"/>
      <c r="H32" s="7"/>
      <c r="I32" s="7"/>
      <c r="J32" s="7"/>
      <c r="K32" s="7"/>
      <c r="L32" s="7"/>
      <c r="M32" s="7"/>
      <c r="N32" s="7"/>
      <c r="O32" s="7"/>
      <c r="P32" s="7"/>
      <c r="Q32" s="7"/>
      <c r="R32" s="7"/>
      <c r="S32" s="7"/>
      <c r="T32" s="14"/>
      <c r="U32" s="9"/>
      <c r="V32" s="83" t="s">
        <v>68</v>
      </c>
      <c r="W32" s="84">
        <f>W24+(W26*(W31/W25)*W22)</f>
        <v>15.9</v>
      </c>
      <c r="X32" s="150"/>
    </row>
    <row r="33" spans="1:24" s="2" customFormat="1" x14ac:dyDescent="0.2">
      <c r="A33" s="7"/>
      <c r="B33" s="7"/>
      <c r="C33" s="7"/>
      <c r="D33" s="7"/>
      <c r="E33" s="7"/>
      <c r="F33" s="7"/>
      <c r="G33" s="7"/>
      <c r="H33" s="7"/>
      <c r="I33" s="7"/>
      <c r="J33" s="7"/>
      <c r="K33" s="7"/>
      <c r="L33" s="7"/>
      <c r="M33" s="7"/>
      <c r="N33" s="7"/>
      <c r="O33" s="7"/>
      <c r="P33" s="7"/>
      <c r="Q33" s="7"/>
      <c r="R33" s="7"/>
      <c r="S33" s="7"/>
      <c r="T33" s="14"/>
      <c r="U33" s="9"/>
      <c r="V33" s="56"/>
      <c r="W33" s="56"/>
      <c r="X33" s="57"/>
    </row>
    <row r="34" spans="1:24" s="2" customFormat="1" x14ac:dyDescent="0.2">
      <c r="A34" s="7"/>
      <c r="B34" s="7"/>
      <c r="C34" s="7"/>
      <c r="D34" s="7"/>
      <c r="E34" s="7"/>
      <c r="F34" s="7"/>
      <c r="G34" s="7"/>
      <c r="H34" s="7"/>
      <c r="I34" s="7"/>
      <c r="J34" s="7"/>
      <c r="K34" s="7"/>
      <c r="L34" s="7"/>
      <c r="M34" s="7"/>
      <c r="N34" s="7"/>
      <c r="O34" s="7"/>
      <c r="P34" s="7"/>
      <c r="Q34" s="7"/>
      <c r="R34" s="7"/>
      <c r="S34" s="7"/>
      <c r="T34" s="14"/>
      <c r="U34" s="9"/>
      <c r="V34" s="56"/>
      <c r="W34" s="56"/>
      <c r="X34" s="57"/>
    </row>
    <row r="35" spans="1:24" s="2" customFormat="1" x14ac:dyDescent="0.2">
      <c r="A35" s="7"/>
      <c r="B35" s="7"/>
      <c r="C35" s="7"/>
      <c r="D35" s="7"/>
      <c r="E35" s="7"/>
      <c r="F35" s="7"/>
      <c r="G35" s="7"/>
      <c r="H35" s="7"/>
      <c r="I35" s="7"/>
      <c r="J35" s="7"/>
      <c r="K35" s="7"/>
      <c r="L35" s="7"/>
      <c r="M35" s="7"/>
      <c r="N35" s="7"/>
      <c r="O35" s="7"/>
      <c r="P35" s="7"/>
      <c r="Q35" s="7"/>
      <c r="R35" s="7"/>
      <c r="S35" s="7"/>
      <c r="T35" s="14"/>
      <c r="U35" s="9"/>
      <c r="V35" s="56"/>
      <c r="W35" s="56"/>
      <c r="X35" s="57"/>
    </row>
    <row r="36" spans="1:24" s="2" customFormat="1" x14ac:dyDescent="0.2">
      <c r="A36" s="7"/>
      <c r="B36" s="8"/>
      <c r="C36" s="7"/>
      <c r="D36" s="7"/>
      <c r="E36" s="7"/>
      <c r="F36" s="7"/>
      <c r="G36" s="7"/>
      <c r="H36" s="7"/>
      <c r="I36" s="7"/>
      <c r="J36" s="7"/>
      <c r="K36" s="7"/>
      <c r="L36" s="7"/>
      <c r="M36" s="7"/>
      <c r="N36" s="7"/>
      <c r="O36" s="7"/>
      <c r="P36" s="7"/>
      <c r="Q36" s="7"/>
      <c r="R36" s="7"/>
      <c r="S36" s="7"/>
      <c r="T36" s="14"/>
      <c r="U36" s="9"/>
      <c r="V36" s="56"/>
      <c r="W36" s="56"/>
      <c r="X36" s="57"/>
    </row>
    <row r="37" spans="1:24" s="2" customFormat="1" x14ac:dyDescent="0.2">
      <c r="A37" s="7"/>
      <c r="B37" s="28"/>
      <c r="C37" s="7"/>
      <c r="D37" s="7"/>
      <c r="E37" s="7"/>
      <c r="F37" s="7"/>
      <c r="G37" s="7"/>
      <c r="H37" s="7"/>
      <c r="I37" s="7"/>
      <c r="J37" s="7"/>
      <c r="K37" s="7"/>
      <c r="L37" s="7"/>
      <c r="M37" s="7"/>
      <c r="N37" s="7"/>
      <c r="O37" s="7"/>
      <c r="P37" s="7"/>
      <c r="Q37" s="7"/>
      <c r="R37" s="7"/>
      <c r="S37" s="7"/>
      <c r="T37" s="20"/>
      <c r="U37" s="9"/>
      <c r="V37" s="9"/>
      <c r="W37" s="9"/>
      <c r="X37" s="7"/>
    </row>
    <row r="38" spans="1:24" s="2" customFormat="1" x14ac:dyDescent="0.2">
      <c r="A38" s="7"/>
      <c r="B38" s="8"/>
      <c r="C38" s="7"/>
      <c r="D38" s="7"/>
      <c r="E38" s="7"/>
      <c r="F38" s="7"/>
      <c r="G38" s="7"/>
      <c r="H38" s="7"/>
      <c r="I38" s="7"/>
      <c r="J38" s="7"/>
      <c r="K38" s="7"/>
      <c r="L38" s="7"/>
      <c r="M38" s="7"/>
      <c r="N38" s="7"/>
      <c r="O38" s="7"/>
      <c r="P38" s="7"/>
      <c r="Q38" s="7"/>
      <c r="R38" s="7"/>
      <c r="S38" s="7"/>
      <c r="T38" s="20"/>
      <c r="U38" s="9"/>
      <c r="V38" s="9"/>
      <c r="W38" s="9"/>
      <c r="X38" s="7"/>
    </row>
    <row r="39" spans="1:24" s="2" customFormat="1" x14ac:dyDescent="0.2">
      <c r="A39" s="7"/>
      <c r="B39" s="8"/>
      <c r="C39" s="7"/>
      <c r="D39" s="7"/>
      <c r="E39" s="7"/>
      <c r="F39" s="7"/>
      <c r="G39" s="7"/>
      <c r="H39" s="7"/>
      <c r="I39" s="7"/>
      <c r="J39" s="7"/>
      <c r="K39" s="7"/>
      <c r="L39" s="7"/>
      <c r="M39" s="7"/>
      <c r="N39" s="7"/>
      <c r="O39" s="7"/>
      <c r="P39" s="7"/>
      <c r="Q39" s="7"/>
      <c r="R39" s="7"/>
      <c r="S39" s="7"/>
      <c r="T39" s="20"/>
      <c r="U39" s="9"/>
      <c r="V39" s="9"/>
      <c r="W39" s="9"/>
      <c r="X39" s="7"/>
    </row>
    <row r="40" spans="1:24" s="2" customFormat="1" x14ac:dyDescent="0.2">
      <c r="B40" s="6"/>
      <c r="C40" s="7"/>
      <c r="D40" s="1"/>
      <c r="E40" s="1"/>
      <c r="F40" s="1"/>
      <c r="G40" s="1"/>
      <c r="H40" s="1"/>
      <c r="I40" s="1"/>
      <c r="J40" s="1"/>
      <c r="K40" s="1"/>
      <c r="L40" s="1"/>
      <c r="M40" s="1"/>
      <c r="N40" s="1"/>
      <c r="O40" s="1"/>
      <c r="P40" s="1"/>
      <c r="Q40" s="1"/>
      <c r="R40" s="1"/>
      <c r="S40" s="1"/>
      <c r="T40" s="9"/>
      <c r="U40" s="9"/>
      <c r="V40" s="9"/>
      <c r="W40" s="9"/>
      <c r="X40" s="7"/>
    </row>
    <row r="41" spans="1:24" s="2" customFormat="1" x14ac:dyDescent="0.2">
      <c r="B41" s="6"/>
      <c r="G41" s="1"/>
      <c r="H41" s="1"/>
      <c r="I41" s="1"/>
      <c r="J41" s="1"/>
      <c r="K41" s="1"/>
      <c r="L41" s="1"/>
      <c r="M41" s="1"/>
      <c r="N41" s="1"/>
      <c r="O41" s="1"/>
      <c r="P41" s="1"/>
      <c r="Q41" s="1"/>
      <c r="R41" s="1"/>
      <c r="S41" s="1"/>
      <c r="T41" s="9"/>
      <c r="U41" s="9"/>
      <c r="V41" s="9"/>
      <c r="W41" s="9"/>
      <c r="X41" s="7"/>
    </row>
    <row r="42" spans="1:24" s="2" customFormat="1" x14ac:dyDescent="0.2">
      <c r="B42" s="6"/>
      <c r="G42" s="1"/>
      <c r="H42" s="1"/>
      <c r="I42" s="1"/>
      <c r="J42" s="1"/>
      <c r="K42" s="1"/>
      <c r="L42" s="1"/>
      <c r="M42" s="1"/>
      <c r="N42" s="1"/>
      <c r="O42" s="1"/>
      <c r="P42" s="1"/>
      <c r="Q42" s="1"/>
      <c r="R42" s="1"/>
      <c r="S42" s="1"/>
    </row>
    <row r="43" spans="1:24" s="2" customFormat="1" x14ac:dyDescent="0.2">
      <c r="B43" s="6"/>
      <c r="G43" s="1"/>
      <c r="H43" s="1"/>
      <c r="I43" s="1"/>
      <c r="J43" s="1"/>
      <c r="K43" s="1"/>
      <c r="L43" s="1"/>
      <c r="M43" s="1"/>
      <c r="N43" s="1"/>
      <c r="O43" s="1"/>
      <c r="P43" s="1"/>
      <c r="Q43" s="1"/>
      <c r="R43" s="1"/>
      <c r="S43" s="1"/>
    </row>
    <row r="44" spans="1:24" s="2" customFormat="1" x14ac:dyDescent="0.2">
      <c r="B44" s="6"/>
      <c r="G44" s="1"/>
      <c r="H44" s="1"/>
      <c r="I44" s="1"/>
      <c r="J44" s="1"/>
      <c r="K44" s="1"/>
      <c r="L44" s="1"/>
      <c r="M44" s="1"/>
      <c r="N44" s="1"/>
      <c r="O44" s="1"/>
      <c r="P44" s="1"/>
      <c r="Q44" s="1"/>
      <c r="R44" s="1"/>
      <c r="S44" s="1"/>
    </row>
    <row r="45" spans="1:24" s="2" customFormat="1" x14ac:dyDescent="0.2">
      <c r="B45" s="6"/>
      <c r="G45" s="1"/>
      <c r="H45" s="1"/>
      <c r="I45" s="1"/>
      <c r="J45" s="1"/>
      <c r="K45" s="1"/>
      <c r="L45" s="1"/>
      <c r="M45" s="1"/>
      <c r="N45" s="1"/>
      <c r="O45" s="1"/>
      <c r="P45" s="1"/>
      <c r="Q45" s="1"/>
      <c r="R45" s="1"/>
      <c r="S45" s="1"/>
      <c r="T45" s="3"/>
    </row>
    <row r="46" spans="1:24" s="2" customFormat="1" x14ac:dyDescent="0.2">
      <c r="B46" s="6"/>
      <c r="G46" s="1"/>
      <c r="H46" s="1"/>
      <c r="I46" s="1"/>
      <c r="J46" s="1"/>
      <c r="K46" s="1"/>
      <c r="L46" s="1"/>
      <c r="M46" s="1"/>
      <c r="N46" s="1"/>
      <c r="O46" s="1"/>
      <c r="P46" s="1"/>
      <c r="Q46" s="1"/>
      <c r="R46" s="1"/>
      <c r="S46" s="1"/>
      <c r="T46" s="4"/>
    </row>
    <row r="47" spans="1:24" s="2" customFormat="1" x14ac:dyDescent="0.2">
      <c r="B47" s="6"/>
      <c r="G47" s="1"/>
      <c r="H47" s="1"/>
      <c r="I47" s="1"/>
      <c r="J47" s="1"/>
      <c r="K47" s="1"/>
      <c r="L47" s="1"/>
      <c r="M47" s="1"/>
      <c r="N47" s="1"/>
      <c r="O47" s="1"/>
      <c r="P47" s="1"/>
      <c r="Q47" s="1"/>
      <c r="R47" s="1"/>
      <c r="S47" s="1"/>
      <c r="T47" s="3"/>
    </row>
    <row r="48" spans="1:24" s="2" customFormat="1" x14ac:dyDescent="0.2">
      <c r="B48" s="6"/>
      <c r="D48" s="1"/>
      <c r="E48" s="1"/>
      <c r="F48" s="1"/>
      <c r="G48" s="1"/>
      <c r="H48" s="1"/>
      <c r="I48" s="1"/>
      <c r="J48" s="1"/>
      <c r="K48" s="1"/>
      <c r="L48" s="1"/>
      <c r="M48" s="1"/>
      <c r="N48" s="1"/>
      <c r="O48" s="1"/>
      <c r="P48" s="1"/>
      <c r="Q48" s="1"/>
      <c r="R48" s="1"/>
      <c r="S48" s="1"/>
      <c r="T48" s="5"/>
    </row>
    <row r="49" spans="1:23" s="2" customFormat="1" x14ac:dyDescent="0.2">
      <c r="B49" s="6"/>
      <c r="D49" s="1"/>
      <c r="E49" s="1"/>
      <c r="F49" s="1"/>
      <c r="G49" s="1"/>
      <c r="H49" s="1"/>
      <c r="I49" s="1"/>
      <c r="J49" s="1"/>
      <c r="K49" s="1"/>
      <c r="L49" s="1"/>
      <c r="M49" s="1"/>
      <c r="N49" s="1"/>
      <c r="O49" s="1"/>
      <c r="P49" s="1"/>
      <c r="Q49" s="1"/>
      <c r="R49" s="1"/>
      <c r="S49" s="1"/>
      <c r="T49" s="3"/>
    </row>
    <row r="50" spans="1:23" s="2" customFormat="1" x14ac:dyDescent="0.2">
      <c r="B50" s="6"/>
      <c r="D50" s="1"/>
      <c r="E50" s="1"/>
      <c r="F50" s="1"/>
      <c r="G50" s="1"/>
      <c r="H50" s="1"/>
      <c r="I50" s="1"/>
      <c r="J50" s="1"/>
      <c r="K50" s="1"/>
      <c r="L50" s="1"/>
      <c r="M50" s="1"/>
      <c r="N50" s="1"/>
      <c r="O50" s="1"/>
      <c r="P50" s="1"/>
      <c r="Q50" s="1"/>
      <c r="R50" s="1"/>
      <c r="S50" s="1"/>
      <c r="T50" s="3"/>
    </row>
    <row r="51" spans="1:23" s="2" customFormat="1" x14ac:dyDescent="0.2">
      <c r="B51" s="6"/>
      <c r="C51" s="1"/>
      <c r="D51" s="1"/>
      <c r="E51" s="1"/>
      <c r="F51" s="1"/>
      <c r="G51" s="1"/>
      <c r="H51" s="1"/>
      <c r="I51" s="1"/>
      <c r="J51" s="1"/>
      <c r="K51" s="1"/>
      <c r="L51" s="1"/>
      <c r="M51" s="1"/>
      <c r="N51" s="1"/>
      <c r="O51" s="1"/>
      <c r="P51" s="1"/>
      <c r="Q51" s="1"/>
      <c r="R51" s="1"/>
      <c r="S51" s="1"/>
      <c r="T51" s="3"/>
    </row>
    <row r="52" spans="1:23" s="2" customFormat="1" x14ac:dyDescent="0.2">
      <c r="B52" s="6"/>
      <c r="C52" s="1"/>
      <c r="D52" s="1"/>
      <c r="E52" s="1"/>
      <c r="F52" s="1"/>
      <c r="G52" s="1"/>
      <c r="H52" s="1"/>
      <c r="I52" s="1"/>
      <c r="J52" s="1"/>
      <c r="K52" s="1"/>
      <c r="L52" s="1"/>
      <c r="M52" s="1"/>
      <c r="N52" s="1"/>
      <c r="O52" s="1"/>
      <c r="P52" s="1"/>
      <c r="Q52" s="1"/>
      <c r="R52" s="1"/>
      <c r="S52" s="1"/>
      <c r="T52" s="4"/>
    </row>
    <row r="53" spans="1:23" s="2" customFormat="1" x14ac:dyDescent="0.2">
      <c r="A53" s="1"/>
      <c r="B53" s="6"/>
      <c r="C53" s="1"/>
      <c r="D53" s="1"/>
      <c r="E53" s="1"/>
      <c r="F53" s="1"/>
      <c r="G53" s="1"/>
      <c r="H53" s="1"/>
      <c r="I53" s="1"/>
      <c r="J53" s="1"/>
      <c r="K53" s="1"/>
      <c r="L53" s="1"/>
      <c r="M53" s="1"/>
      <c r="N53" s="1"/>
      <c r="O53" s="1"/>
      <c r="P53" s="1"/>
      <c r="Q53" s="1"/>
      <c r="R53" s="1"/>
      <c r="S53" s="1"/>
      <c r="T53" s="4"/>
    </row>
    <row r="54" spans="1:23" s="2" customFormat="1" x14ac:dyDescent="0.2">
      <c r="A54" s="1"/>
      <c r="B54" s="6"/>
      <c r="C54" s="1"/>
      <c r="D54" s="1"/>
      <c r="E54" s="1"/>
      <c r="F54" s="1"/>
      <c r="G54" s="1"/>
      <c r="H54" s="1"/>
      <c r="I54" s="1"/>
      <c r="J54" s="1"/>
      <c r="K54" s="1"/>
      <c r="L54" s="1"/>
      <c r="M54" s="1"/>
      <c r="N54" s="1"/>
      <c r="O54" s="1"/>
      <c r="P54" s="1"/>
      <c r="Q54" s="1"/>
      <c r="R54" s="1"/>
      <c r="S54" s="1"/>
      <c r="T54" s="4"/>
    </row>
    <row r="55" spans="1:23" s="2" customFormat="1" x14ac:dyDescent="0.2">
      <c r="A55" s="1"/>
      <c r="B55" s="6"/>
      <c r="C55" s="1"/>
      <c r="D55" s="1"/>
      <c r="E55" s="1"/>
      <c r="F55" s="1"/>
      <c r="G55" s="1"/>
      <c r="H55" s="1"/>
      <c r="I55" s="1"/>
      <c r="J55" s="1"/>
      <c r="K55" s="1"/>
      <c r="L55" s="1"/>
      <c r="M55" s="1"/>
      <c r="N55" s="1"/>
      <c r="O55" s="1"/>
      <c r="P55" s="1"/>
      <c r="Q55" s="1"/>
      <c r="R55" s="1"/>
      <c r="S55" s="1"/>
      <c r="T55" s="4"/>
    </row>
    <row r="56" spans="1:23" s="2" customFormat="1" x14ac:dyDescent="0.2">
      <c r="A56" s="1"/>
      <c r="B56" s="6"/>
      <c r="C56" s="1"/>
      <c r="D56" s="1"/>
      <c r="E56" s="1"/>
      <c r="F56" s="1"/>
      <c r="G56" s="1"/>
      <c r="H56" s="1"/>
      <c r="I56" s="1"/>
      <c r="J56" s="1"/>
      <c r="K56" s="1"/>
      <c r="L56" s="1"/>
      <c r="M56" s="1"/>
      <c r="N56" s="1"/>
      <c r="O56" s="1"/>
      <c r="P56" s="1"/>
      <c r="Q56" s="1"/>
      <c r="R56" s="1"/>
      <c r="S56" s="1"/>
      <c r="T56" s="3"/>
    </row>
    <row r="57" spans="1:23" s="2" customFormat="1" x14ac:dyDescent="0.2">
      <c r="A57" s="1"/>
      <c r="B57" s="6"/>
      <c r="C57" s="1"/>
      <c r="D57" s="1"/>
      <c r="E57" s="1"/>
      <c r="F57" s="1"/>
      <c r="G57" s="1"/>
      <c r="H57" s="1"/>
      <c r="I57" s="1"/>
      <c r="J57" s="1"/>
      <c r="K57" s="1"/>
      <c r="L57" s="1"/>
      <c r="M57" s="1"/>
      <c r="N57" s="1"/>
      <c r="O57" s="1"/>
      <c r="P57" s="1"/>
      <c r="Q57" s="1"/>
      <c r="R57" s="1"/>
      <c r="S57" s="1"/>
    </row>
    <row r="58" spans="1:23" s="2" customFormat="1" x14ac:dyDescent="0.2">
      <c r="A58" s="1"/>
      <c r="B58" s="6"/>
      <c r="C58" s="1"/>
      <c r="D58" s="1"/>
      <c r="E58" s="1"/>
      <c r="F58" s="1"/>
      <c r="G58" s="1"/>
      <c r="H58" s="1"/>
      <c r="I58" s="1"/>
      <c r="J58" s="1"/>
      <c r="K58" s="1"/>
      <c r="L58" s="1"/>
      <c r="M58" s="1"/>
      <c r="N58" s="1"/>
      <c r="O58" s="1"/>
      <c r="P58" s="1"/>
      <c r="Q58" s="1"/>
      <c r="R58" s="1"/>
      <c r="S58" s="1"/>
    </row>
    <row r="59" spans="1:23" s="2" customFormat="1" x14ac:dyDescent="0.2">
      <c r="A59" s="1"/>
      <c r="B59" s="6"/>
      <c r="C59" s="1"/>
      <c r="D59" s="1"/>
      <c r="E59" s="1"/>
      <c r="F59" s="1"/>
      <c r="G59" s="1"/>
      <c r="H59" s="1"/>
      <c r="I59" s="1"/>
      <c r="J59" s="1"/>
      <c r="K59" s="1"/>
      <c r="L59" s="1"/>
      <c r="M59" s="1"/>
      <c r="N59" s="1"/>
      <c r="O59" s="1"/>
      <c r="P59" s="1"/>
      <c r="Q59" s="1"/>
      <c r="R59" s="1"/>
      <c r="S59" s="1"/>
    </row>
    <row r="60" spans="1:23" s="2" customFormat="1" x14ac:dyDescent="0.2">
      <c r="A60" s="1"/>
      <c r="B60" s="6"/>
      <c r="C60" s="1"/>
      <c r="D60" s="1"/>
      <c r="E60" s="1"/>
      <c r="F60" s="1"/>
      <c r="G60" s="1"/>
      <c r="H60" s="1"/>
      <c r="I60" s="1"/>
      <c r="J60" s="1"/>
      <c r="K60" s="1"/>
      <c r="L60" s="1"/>
      <c r="M60" s="1"/>
      <c r="N60" s="1"/>
      <c r="O60" s="1"/>
      <c r="P60" s="1"/>
      <c r="Q60" s="1"/>
      <c r="R60" s="1"/>
      <c r="S60" s="1"/>
    </row>
    <row r="61" spans="1:23" x14ac:dyDescent="0.2">
      <c r="V61" s="2"/>
      <c r="W61" s="2"/>
    </row>
    <row r="62" spans="1:23" x14ac:dyDescent="0.2">
      <c r="V62" s="2"/>
      <c r="W62" s="2"/>
    </row>
    <row r="63" spans="1:23" x14ac:dyDescent="0.2">
      <c r="V63" s="2"/>
      <c r="W63" s="2"/>
    </row>
    <row r="64" spans="1:23" x14ac:dyDescent="0.2">
      <c r="V64" s="2"/>
      <c r="W64" s="2"/>
    </row>
    <row r="65" spans="22:23" x14ac:dyDescent="0.2">
      <c r="V65" s="2"/>
      <c r="W65" s="2"/>
    </row>
    <row r="66" spans="22:23" x14ac:dyDescent="0.2">
      <c r="V66" s="2"/>
      <c r="W66" s="2"/>
    </row>
    <row r="67" spans="22:23" x14ac:dyDescent="0.2">
      <c r="V67" s="2"/>
      <c r="W67" s="2"/>
    </row>
    <row r="68" spans="22:23" x14ac:dyDescent="0.2">
      <c r="V68" s="2"/>
      <c r="W68" s="2"/>
    </row>
    <row r="69" spans="22:23" x14ac:dyDescent="0.2">
      <c r="V69" s="2"/>
      <c r="W69" s="2"/>
    </row>
    <row r="70" spans="22:23" x14ac:dyDescent="0.2">
      <c r="V70" s="2"/>
      <c r="W70" s="2"/>
    </row>
    <row r="71" spans="22:23" x14ac:dyDescent="0.2">
      <c r="V71" s="2"/>
      <c r="W71" s="2"/>
    </row>
  </sheetData>
  <sheetProtection algorithmName="SHA-512" hashValue="dnBltvGFnk53Mw73lXlBdCiJlPCFUVx2Fau4bsibvQ3UcXU9saaeNTEz6rF6MbEZh/gvzopDBO6E42fyRHz9Iw==" saltValue="rf+f0KYwKXZAaF4Mv1tVYQ==" spinCount="100000" sheet="1" objects="1" scenarios="1"/>
  <mergeCells count="7">
    <mergeCell ref="X12:X27"/>
    <mergeCell ref="X28:X32"/>
    <mergeCell ref="E3:F3"/>
    <mergeCell ref="B1:C1"/>
    <mergeCell ref="B8:S8"/>
    <mergeCell ref="V11:X11"/>
    <mergeCell ref="B7:S7"/>
  </mergeCells>
  <conditionalFormatting sqref="T49 T46">
    <cfRule type="cellIs" dxfId="11" priority="35" stopIfTrue="1" operator="greaterThan">
      <formula>10</formula>
    </cfRule>
  </conditionalFormatting>
  <conditionalFormatting sqref="T52:T56">
    <cfRule type="cellIs" dxfId="10" priority="36" stopIfTrue="1" operator="greaterThan">
      <formula>0.1</formula>
    </cfRule>
  </conditionalFormatting>
  <conditionalFormatting sqref="C16:S16">
    <cfRule type="cellIs" dxfId="9" priority="5" operator="lessThan">
      <formula>10</formula>
    </cfRule>
    <cfRule type="cellIs" dxfId="8" priority="6" operator="greaterThanOrEqual">
      <formula>10</formula>
    </cfRule>
  </conditionalFormatting>
  <conditionalFormatting sqref="C22:S22">
    <cfRule type="cellIs" dxfId="7" priority="3" operator="lessThan">
      <formula>0.1</formula>
    </cfRule>
    <cfRule type="cellIs" dxfId="6" priority="4" operator="greaterThanOrEqual">
      <formula>0.1</formula>
    </cfRule>
  </conditionalFormatting>
  <pageMargins left="0.74791666666666667" right="0.74791666666666667" top="0.98402777777777772" bottom="0.98402777777777772" header="0.51180555555555551" footer="0.51180555555555551"/>
  <pageSetup paperSize="9" scale="55"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71"/>
  <sheetViews>
    <sheetView zoomScale="110" zoomScaleNormal="70" workbookViewId="0">
      <selection activeCell="H2" sqref="H2"/>
    </sheetView>
  </sheetViews>
  <sheetFormatPr defaultColWidth="7.85546875" defaultRowHeight="12.75" x14ac:dyDescent="0.2"/>
  <cols>
    <col min="1" max="1" width="24.85546875" style="1" customWidth="1"/>
    <col min="2" max="2" width="27.7109375" style="6" customWidth="1"/>
    <col min="3" max="3" width="9.7109375" style="1" customWidth="1"/>
    <col min="4" max="19" width="8.7109375" style="1" customWidth="1"/>
    <col min="20" max="21" width="2.5703125" style="1" customWidth="1"/>
    <col min="22" max="22" width="18.42578125" style="1" customWidth="1"/>
    <col min="23" max="23" width="11.7109375" style="1" customWidth="1"/>
    <col min="24" max="16384" width="7.85546875" style="1"/>
  </cols>
  <sheetData>
    <row r="1" spans="1:24" ht="15.75" customHeight="1" x14ac:dyDescent="0.35">
      <c r="A1" s="9"/>
      <c r="B1" s="153" t="s">
        <v>1</v>
      </c>
      <c r="C1" s="153"/>
      <c r="D1" s="55"/>
      <c r="E1" s="55"/>
      <c r="F1" s="153" t="s">
        <v>69</v>
      </c>
      <c r="G1" s="153"/>
      <c r="H1" s="153"/>
      <c r="I1" s="55"/>
      <c r="J1" s="55"/>
      <c r="K1" s="77" t="s">
        <v>2</v>
      </c>
      <c r="L1" s="54"/>
      <c r="M1" s="11"/>
      <c r="N1" s="10"/>
      <c r="O1" s="10"/>
      <c r="P1" s="10"/>
      <c r="Q1" s="10"/>
      <c r="R1" s="10"/>
      <c r="S1" s="10"/>
      <c r="T1" s="9"/>
      <c r="U1" s="9"/>
      <c r="V1" s="9"/>
      <c r="W1" s="9"/>
      <c r="X1" s="7"/>
    </row>
    <row r="2" spans="1:24" ht="15.75" customHeight="1" x14ac:dyDescent="0.35">
      <c r="A2" s="9"/>
      <c r="B2" s="38" t="s">
        <v>3</v>
      </c>
      <c r="C2" s="39">
        <f>'ERA Terrestrial -Phase I'!C2</f>
        <v>0</v>
      </c>
      <c r="D2" s="40"/>
      <c r="E2" s="40"/>
      <c r="F2" s="160" t="s">
        <v>70</v>
      </c>
      <c r="G2" s="160"/>
      <c r="H2" s="100">
        <v>1</v>
      </c>
      <c r="I2" s="10"/>
      <c r="J2" s="10"/>
      <c r="K2" s="158" t="s">
        <v>4</v>
      </c>
      <c r="L2" s="159"/>
      <c r="M2" s="98">
        <v>5</v>
      </c>
      <c r="N2" s="10"/>
      <c r="O2" s="10"/>
      <c r="P2" s="10"/>
      <c r="Q2" s="10"/>
      <c r="R2" s="10"/>
      <c r="S2" s="10"/>
      <c r="T2" s="9"/>
      <c r="U2" s="9"/>
      <c r="V2" s="9"/>
      <c r="W2" s="9"/>
      <c r="X2" s="7"/>
    </row>
    <row r="3" spans="1:24" ht="15.75" customHeight="1" x14ac:dyDescent="0.2">
      <c r="A3" s="9"/>
      <c r="B3" s="38" t="s">
        <v>5</v>
      </c>
      <c r="C3" s="41">
        <f>'ERA Terrestrial -Phase I'!C3</f>
        <v>1.0000000000000001E-9</v>
      </c>
      <c r="D3" s="42"/>
      <c r="E3" s="42"/>
      <c r="F3" s="158" t="s">
        <v>71</v>
      </c>
      <c r="G3" s="159"/>
      <c r="H3" s="100">
        <v>2</v>
      </c>
      <c r="I3" s="9"/>
      <c r="J3" s="9"/>
      <c r="K3" s="151" t="s">
        <v>6</v>
      </c>
      <c r="L3" s="152"/>
      <c r="M3" s="32">
        <f>($W$24+($W$26*$W$27*$C$5/1000*$W$22))/$W$23*M2*1000*$W$23/($W$26*$W$22)</f>
        <v>318.00000000000006</v>
      </c>
      <c r="N3" s="9"/>
      <c r="O3" s="9"/>
      <c r="P3" s="9"/>
      <c r="Q3" s="9"/>
      <c r="R3" s="9"/>
      <c r="S3" s="9"/>
      <c r="T3" s="9"/>
      <c r="U3" s="9"/>
      <c r="V3" s="9"/>
      <c r="W3" s="9"/>
      <c r="X3" s="7"/>
    </row>
    <row r="4" spans="1:24" ht="15.75" customHeight="1" x14ac:dyDescent="0.2">
      <c r="A4" s="9"/>
      <c r="B4" s="38" t="s">
        <v>7</v>
      </c>
      <c r="C4" s="43">
        <f>'ERA Terrestrial -Phase I'!C4</f>
        <v>150</v>
      </c>
      <c r="D4" s="42"/>
      <c r="E4" s="42"/>
      <c r="F4" s="158" t="s">
        <v>72</v>
      </c>
      <c r="G4" s="159"/>
      <c r="H4" s="100">
        <v>180</v>
      </c>
      <c r="I4" s="9"/>
      <c r="J4" s="9"/>
      <c r="K4" s="9"/>
      <c r="L4" s="9"/>
      <c r="M4" s="9"/>
      <c r="N4" s="9"/>
      <c r="O4" s="9"/>
      <c r="P4" s="9"/>
      <c r="Q4" s="9"/>
      <c r="R4" s="9"/>
      <c r="S4" s="9"/>
      <c r="T4" s="9"/>
      <c r="U4" s="9"/>
      <c r="V4" s="9"/>
      <c r="W4" s="9"/>
      <c r="X4" s="7"/>
    </row>
    <row r="5" spans="1:24" ht="15.75" customHeight="1" x14ac:dyDescent="0.2">
      <c r="A5" s="9"/>
      <c r="B5" s="38" t="s">
        <v>8</v>
      </c>
      <c r="C5" s="44">
        <f>'ERA Terrestrial -Phase I'!C5</f>
        <v>600</v>
      </c>
      <c r="D5" s="42"/>
      <c r="E5" s="42"/>
      <c r="F5" s="158" t="s">
        <v>73</v>
      </c>
      <c r="G5" s="159"/>
      <c r="H5" s="100">
        <v>25</v>
      </c>
      <c r="I5" s="9"/>
      <c r="J5" s="9"/>
      <c r="K5" s="9"/>
      <c r="L5" s="9"/>
      <c r="M5" s="9"/>
      <c r="N5" s="9"/>
      <c r="O5" s="9"/>
      <c r="P5" s="9"/>
      <c r="Q5" s="9"/>
      <c r="R5" s="9"/>
      <c r="S5" s="9"/>
      <c r="T5" s="9"/>
      <c r="U5" s="9"/>
      <c r="V5" s="9"/>
      <c r="W5" s="9"/>
      <c r="X5" s="7"/>
    </row>
    <row r="6" spans="1:24" ht="15.75" customHeight="1" x14ac:dyDescent="0.2">
      <c r="A6" s="9"/>
      <c r="B6" s="38" t="s">
        <v>9</v>
      </c>
      <c r="C6" s="45">
        <f>'ERA Terrestrial -Phase I'!C6</f>
        <v>23.7</v>
      </c>
      <c r="D6" s="42"/>
      <c r="E6" s="42"/>
      <c r="F6" s="158" t="s">
        <v>74</v>
      </c>
      <c r="G6" s="159"/>
      <c r="H6" s="100">
        <v>0</v>
      </c>
      <c r="I6" s="9"/>
      <c r="J6" s="9"/>
      <c r="K6" s="9"/>
      <c r="L6" s="9"/>
      <c r="M6" s="9"/>
      <c r="N6" s="9"/>
      <c r="O6" s="9"/>
      <c r="P6" s="9"/>
      <c r="Q6" s="9"/>
      <c r="R6" s="9"/>
      <c r="S6" s="9"/>
      <c r="T6" s="9"/>
      <c r="U6" s="9"/>
      <c r="V6" s="9"/>
      <c r="W6" s="9"/>
      <c r="X6" s="7"/>
    </row>
    <row r="7" spans="1:24" ht="9.75" customHeight="1" x14ac:dyDescent="0.2">
      <c r="A7" s="9"/>
      <c r="B7" s="12"/>
      <c r="C7" s="9"/>
      <c r="D7" s="9"/>
      <c r="E7" s="9"/>
      <c r="F7" s="9"/>
      <c r="G7" s="13"/>
      <c r="H7" s="13"/>
      <c r="I7" s="9"/>
      <c r="J7" s="9"/>
      <c r="K7" s="9"/>
      <c r="L7" s="9"/>
      <c r="M7" s="9"/>
      <c r="N7" s="9"/>
      <c r="O7" s="9"/>
      <c r="P7" s="9"/>
      <c r="Q7" s="9"/>
      <c r="R7" s="9"/>
      <c r="S7" s="9"/>
      <c r="T7" s="9"/>
      <c r="U7" s="9"/>
      <c r="V7" s="9"/>
      <c r="W7" s="9"/>
      <c r="X7" s="7"/>
    </row>
    <row r="8" spans="1:24" ht="26.25" customHeight="1" x14ac:dyDescent="0.4">
      <c r="A8" s="9"/>
      <c r="B8" s="154" t="s">
        <v>75</v>
      </c>
      <c r="C8" s="154"/>
      <c r="D8" s="154"/>
      <c r="E8" s="154"/>
      <c r="F8" s="154"/>
      <c r="G8" s="154"/>
      <c r="H8" s="154"/>
      <c r="I8" s="154"/>
      <c r="J8" s="154"/>
      <c r="K8" s="154"/>
      <c r="L8" s="154"/>
      <c r="M8" s="154"/>
      <c r="N8" s="154"/>
      <c r="O8" s="154"/>
      <c r="P8" s="154"/>
      <c r="Q8" s="154"/>
      <c r="R8" s="154"/>
      <c r="S8" s="154"/>
      <c r="T8" s="9"/>
      <c r="U8" s="9"/>
      <c r="V8" s="9"/>
      <c r="W8" s="9"/>
      <c r="X8" s="7"/>
    </row>
    <row r="9" spans="1:24" ht="12.75" customHeight="1" x14ac:dyDescent="0.35">
      <c r="A9" s="9"/>
      <c r="B9" s="47" t="s">
        <v>12</v>
      </c>
      <c r="C9" s="46">
        <v>0.05</v>
      </c>
      <c r="D9" s="10"/>
      <c r="E9" s="10"/>
      <c r="F9" s="10"/>
      <c r="G9" s="10"/>
      <c r="H9" s="10"/>
      <c r="I9" s="10"/>
      <c r="J9" s="10"/>
      <c r="K9" s="10"/>
      <c r="L9" s="10"/>
      <c r="M9" s="10"/>
      <c r="N9" s="10"/>
      <c r="O9" s="10"/>
      <c r="P9" s="10"/>
      <c r="Q9" s="10"/>
      <c r="R9" s="10"/>
      <c r="S9" s="10"/>
      <c r="T9" s="9"/>
      <c r="U9" s="9"/>
      <c r="V9" s="9"/>
      <c r="W9" s="9"/>
      <c r="X9" s="7"/>
    </row>
    <row r="10" spans="1:24" ht="12.75" customHeight="1" thickBot="1" x14ac:dyDescent="0.4">
      <c r="A10" s="9"/>
      <c r="B10" s="47" t="s">
        <v>13</v>
      </c>
      <c r="C10" s="46">
        <v>0.2</v>
      </c>
      <c r="D10" s="10"/>
      <c r="E10" s="10"/>
      <c r="F10" s="10"/>
      <c r="G10" s="10"/>
      <c r="H10" s="10"/>
      <c r="I10" s="10"/>
      <c r="J10" s="10"/>
      <c r="K10" s="10"/>
      <c r="L10" s="10"/>
      <c r="M10" s="10"/>
      <c r="N10" s="10"/>
      <c r="O10" s="10"/>
      <c r="P10" s="10"/>
      <c r="Q10" s="10"/>
      <c r="R10" s="10"/>
      <c r="S10" s="10"/>
      <c r="T10" s="9"/>
      <c r="U10" s="9"/>
      <c r="V10" s="9"/>
      <c r="W10" s="9"/>
      <c r="X10" s="7"/>
    </row>
    <row r="11" spans="1:24" s="2" customFormat="1" ht="24.75" customHeight="1" thickBot="1" x14ac:dyDescent="0.25">
      <c r="A11" s="9"/>
      <c r="B11" s="48"/>
      <c r="C11" s="49" t="s">
        <v>14</v>
      </c>
      <c r="D11" s="49" t="s">
        <v>15</v>
      </c>
      <c r="E11" s="49" t="s">
        <v>16</v>
      </c>
      <c r="F11" s="49" t="s">
        <v>17</v>
      </c>
      <c r="G11" s="49" t="s">
        <v>18</v>
      </c>
      <c r="H11" s="49" t="s">
        <v>19</v>
      </c>
      <c r="I11" s="49" t="s">
        <v>20</v>
      </c>
      <c r="J11" s="49" t="s">
        <v>21</v>
      </c>
      <c r="K11" s="49" t="s">
        <v>22</v>
      </c>
      <c r="L11" s="49" t="s">
        <v>23</v>
      </c>
      <c r="M11" s="49" t="s">
        <v>24</v>
      </c>
      <c r="N11" s="49" t="s">
        <v>25</v>
      </c>
      <c r="O11" s="33" t="s">
        <v>26</v>
      </c>
      <c r="P11" s="33" t="s">
        <v>27</v>
      </c>
      <c r="Q11" s="33" t="s">
        <v>28</v>
      </c>
      <c r="R11" s="33" t="s">
        <v>29</v>
      </c>
      <c r="S11" s="33" t="s">
        <v>30</v>
      </c>
      <c r="T11" s="14"/>
      <c r="U11" s="9"/>
      <c r="V11" s="155" t="s">
        <v>31</v>
      </c>
      <c r="W11" s="156"/>
      <c r="X11" s="157"/>
    </row>
    <row r="12" spans="1:24" s="2" customFormat="1" ht="12.75" customHeight="1" x14ac:dyDescent="0.2">
      <c r="A12" s="9"/>
      <c r="B12" s="50" t="s">
        <v>32</v>
      </c>
      <c r="C12" s="101">
        <v>1</v>
      </c>
      <c r="D12" s="101">
        <v>1</v>
      </c>
      <c r="E12" s="101">
        <v>1</v>
      </c>
      <c r="F12" s="101">
        <v>1</v>
      </c>
      <c r="G12" s="101">
        <v>1</v>
      </c>
      <c r="H12" s="101">
        <v>1</v>
      </c>
      <c r="I12" s="101">
        <v>1</v>
      </c>
      <c r="J12" s="101">
        <v>1</v>
      </c>
      <c r="K12" s="101">
        <v>1</v>
      </c>
      <c r="L12" s="101">
        <v>1</v>
      </c>
      <c r="M12" s="101">
        <v>1</v>
      </c>
      <c r="N12" s="101">
        <v>1</v>
      </c>
      <c r="O12" s="102">
        <v>1</v>
      </c>
      <c r="P12" s="102">
        <v>1</v>
      </c>
      <c r="Q12" s="102">
        <v>1</v>
      </c>
      <c r="R12" s="102">
        <v>1</v>
      </c>
      <c r="S12" s="102">
        <v>1</v>
      </c>
      <c r="T12" s="14"/>
      <c r="U12" s="9"/>
      <c r="V12" s="80" t="s">
        <v>33</v>
      </c>
      <c r="W12" s="81">
        <v>170</v>
      </c>
      <c r="X12" s="145" t="s">
        <v>34</v>
      </c>
    </row>
    <row r="13" spans="1:24" s="2" customFormat="1" ht="15" x14ac:dyDescent="0.2">
      <c r="A13" s="9"/>
      <c r="B13" s="51" t="s">
        <v>35</v>
      </c>
      <c r="C13" s="52">
        <v>296</v>
      </c>
      <c r="D13" s="53">
        <v>800</v>
      </c>
      <c r="E13" s="52">
        <v>1140</v>
      </c>
      <c r="F13" s="52">
        <v>4050</v>
      </c>
      <c r="G13" s="52">
        <v>730</v>
      </c>
      <c r="H13" s="52">
        <v>6584</v>
      </c>
      <c r="I13" s="52">
        <v>273</v>
      </c>
      <c r="J13" s="52">
        <v>267</v>
      </c>
      <c r="K13" s="52">
        <v>607</v>
      </c>
      <c r="L13" s="52">
        <v>580</v>
      </c>
      <c r="M13" s="52">
        <v>714</v>
      </c>
      <c r="N13" s="52">
        <v>22</v>
      </c>
      <c r="O13" s="36">
        <v>42</v>
      </c>
      <c r="P13" s="36">
        <v>70</v>
      </c>
      <c r="Q13" s="37">
        <v>30</v>
      </c>
      <c r="R13" s="36">
        <v>3650</v>
      </c>
      <c r="S13" s="36">
        <v>2385</v>
      </c>
      <c r="T13" s="14"/>
      <c r="U13" s="9"/>
      <c r="V13" s="82" t="s">
        <v>36</v>
      </c>
      <c r="W13" s="31">
        <v>1500</v>
      </c>
      <c r="X13" s="146"/>
    </row>
    <row r="14" spans="1:24" s="2" customFormat="1" ht="16.5" thickBot="1" x14ac:dyDescent="0.3">
      <c r="A14" s="9"/>
      <c r="B14" s="51" t="s">
        <v>37</v>
      </c>
      <c r="C14" s="52">
        <v>4</v>
      </c>
      <c r="D14" s="52">
        <v>9</v>
      </c>
      <c r="E14" s="52">
        <v>23</v>
      </c>
      <c r="F14" s="52">
        <v>54</v>
      </c>
      <c r="G14" s="52">
        <v>11</v>
      </c>
      <c r="H14" s="52">
        <v>125</v>
      </c>
      <c r="I14" s="52">
        <v>5</v>
      </c>
      <c r="J14" s="52">
        <v>5</v>
      </c>
      <c r="K14" s="52">
        <v>10</v>
      </c>
      <c r="L14" s="52">
        <v>10</v>
      </c>
      <c r="M14" s="52">
        <v>16.399999999999999</v>
      </c>
      <c r="N14" s="52">
        <v>0.33</v>
      </c>
      <c r="O14" s="36">
        <v>0.8</v>
      </c>
      <c r="P14" s="36">
        <v>1</v>
      </c>
      <c r="Q14" s="36">
        <v>0.5</v>
      </c>
      <c r="R14" s="36">
        <v>58</v>
      </c>
      <c r="S14" s="36">
        <v>43</v>
      </c>
      <c r="T14" s="15"/>
      <c r="U14" s="9"/>
      <c r="V14" s="82" t="s">
        <v>38</v>
      </c>
      <c r="W14" s="31">
        <v>10000</v>
      </c>
      <c r="X14" s="146"/>
    </row>
    <row r="15" spans="1:24" s="2" customFormat="1" ht="15.75" x14ac:dyDescent="0.25">
      <c r="A15" s="58" t="s">
        <v>76</v>
      </c>
      <c r="B15" s="23" t="s">
        <v>40</v>
      </c>
      <c r="C15" s="88">
        <f>C12*C13/C14*$H$2</f>
        <v>74</v>
      </c>
      <c r="D15" s="88">
        <f t="shared" ref="D15:S15" si="0">D12*D13/D14*$H$2</f>
        <v>88.888888888888886</v>
      </c>
      <c r="E15" s="88">
        <f t="shared" si="0"/>
        <v>49.565217391304351</v>
      </c>
      <c r="F15" s="88">
        <f t="shared" si="0"/>
        <v>75</v>
      </c>
      <c r="G15" s="88">
        <f t="shared" si="0"/>
        <v>66.36363636363636</v>
      </c>
      <c r="H15" s="88">
        <f t="shared" si="0"/>
        <v>52.671999999999997</v>
      </c>
      <c r="I15" s="88">
        <f t="shared" si="0"/>
        <v>54.6</v>
      </c>
      <c r="J15" s="88">
        <f t="shared" si="0"/>
        <v>53.4</v>
      </c>
      <c r="K15" s="88">
        <f t="shared" si="0"/>
        <v>60.7</v>
      </c>
      <c r="L15" s="88">
        <f t="shared" si="0"/>
        <v>58</v>
      </c>
      <c r="M15" s="88">
        <f t="shared" si="0"/>
        <v>43.536585365853661</v>
      </c>
      <c r="N15" s="88">
        <f t="shared" si="0"/>
        <v>66.666666666666657</v>
      </c>
      <c r="O15" s="88">
        <f t="shared" si="0"/>
        <v>52.5</v>
      </c>
      <c r="P15" s="88">
        <f t="shared" si="0"/>
        <v>70</v>
      </c>
      <c r="Q15" s="88">
        <f t="shared" si="0"/>
        <v>60</v>
      </c>
      <c r="R15" s="88">
        <f t="shared" si="0"/>
        <v>62.931034482758619</v>
      </c>
      <c r="S15" s="88">
        <f t="shared" si="0"/>
        <v>55.465116279069768</v>
      </c>
      <c r="T15" s="16"/>
      <c r="U15" s="9"/>
      <c r="V15" s="82" t="s">
        <v>41</v>
      </c>
      <c r="W15" s="31">
        <v>1700</v>
      </c>
      <c r="X15" s="146"/>
    </row>
    <row r="16" spans="1:24" s="2" customFormat="1" ht="12.75" customHeight="1" x14ac:dyDescent="0.2">
      <c r="A16" s="34" t="s">
        <v>77</v>
      </c>
      <c r="B16" s="25" t="s">
        <v>78</v>
      </c>
      <c r="C16" s="89">
        <f>((C15*$W$12)/($W$13*$W$14*$C$9))*1000</f>
        <v>16.773333333333333</v>
      </c>
      <c r="D16" s="89">
        <f>((D15*$W$12)/($W$13*$W$14*$C$9))*1000</f>
        <v>20.148148148148149</v>
      </c>
      <c r="E16" s="89">
        <f t="shared" ref="E16:S16" si="1">((E15*$W$12)/($W$13*$W$14*$C$9))*1000</f>
        <v>11.234782608695653</v>
      </c>
      <c r="F16" s="89">
        <f t="shared" si="1"/>
        <v>17</v>
      </c>
      <c r="G16" s="89">
        <f t="shared" si="1"/>
        <v>15.042424242424243</v>
      </c>
      <c r="H16" s="89">
        <f t="shared" si="1"/>
        <v>11.938986666666667</v>
      </c>
      <c r="I16" s="89">
        <f t="shared" si="1"/>
        <v>12.375999999999999</v>
      </c>
      <c r="J16" s="89">
        <f t="shared" si="1"/>
        <v>12.104000000000001</v>
      </c>
      <c r="K16" s="89">
        <f t="shared" si="1"/>
        <v>13.758666666666667</v>
      </c>
      <c r="L16" s="89">
        <f t="shared" si="1"/>
        <v>13.146666666666667</v>
      </c>
      <c r="M16" s="89">
        <f t="shared" si="1"/>
        <v>9.86829268292683</v>
      </c>
      <c r="N16" s="89">
        <f t="shared" si="1"/>
        <v>15.111111111111111</v>
      </c>
      <c r="O16" s="89">
        <f t="shared" si="1"/>
        <v>11.9</v>
      </c>
      <c r="P16" s="89">
        <f t="shared" si="1"/>
        <v>15.866666666666667</v>
      </c>
      <c r="Q16" s="89">
        <f t="shared" si="1"/>
        <v>13.6</v>
      </c>
      <c r="R16" s="89">
        <f t="shared" si="1"/>
        <v>14.264367816091955</v>
      </c>
      <c r="S16" s="89">
        <f t="shared" si="1"/>
        <v>12.572093023255814</v>
      </c>
      <c r="T16" s="17"/>
      <c r="U16" s="9"/>
      <c r="V16" s="82" t="s">
        <v>44</v>
      </c>
      <c r="W16" s="31">
        <v>8.3140000000000001</v>
      </c>
      <c r="X16" s="146"/>
    </row>
    <row r="17" spans="1:24" s="2" customFormat="1" ht="13.5" thickBot="1" x14ac:dyDescent="0.25">
      <c r="A17" s="21"/>
      <c r="B17" s="25" t="s">
        <v>45</v>
      </c>
      <c r="C17" s="89">
        <f>C16*EXP((-LN(2)*365)/$C$6)</f>
        <v>3.8770679336168275E-4</v>
      </c>
      <c r="D17" s="89">
        <f>D16*EXP((-LN(2)*365)/$C$6)</f>
        <v>4.6571386589991924E-4</v>
      </c>
      <c r="E17" s="89">
        <f t="shared" ref="E17:S17" si="2">E16*EXP((-LN(2)*365)/$C$6)</f>
        <v>2.5968610131158539E-4</v>
      </c>
      <c r="F17" s="89">
        <f t="shared" si="2"/>
        <v>3.9294607435305683E-4</v>
      </c>
      <c r="G17" s="89">
        <f t="shared" si="2"/>
        <v>3.4769773851846242E-4</v>
      </c>
      <c r="H17" s="89">
        <f t="shared" si="2"/>
        <v>2.7596340837765613E-4</v>
      </c>
      <c r="I17" s="89">
        <f t="shared" si="2"/>
        <v>2.8606474212902538E-4</v>
      </c>
      <c r="J17" s="89">
        <f t="shared" si="2"/>
        <v>2.7977760493937647E-4</v>
      </c>
      <c r="K17" s="89">
        <f t="shared" si="2"/>
        <v>3.180243561764073E-4</v>
      </c>
      <c r="L17" s="89">
        <f t="shared" si="2"/>
        <v>3.0387829749969729E-4</v>
      </c>
      <c r="M17" s="89">
        <f t="shared" si="2"/>
        <v>2.2810040413665252E-4</v>
      </c>
      <c r="N17" s="89">
        <f t="shared" si="2"/>
        <v>3.4928539942493937E-4</v>
      </c>
      <c r="O17" s="89">
        <f t="shared" si="2"/>
        <v>2.750622520471398E-4</v>
      </c>
      <c r="P17" s="89">
        <f t="shared" si="2"/>
        <v>3.6674966939618636E-4</v>
      </c>
      <c r="Q17" s="89">
        <f t="shared" si="2"/>
        <v>3.1435685948244546E-4</v>
      </c>
      <c r="R17" s="89">
        <f t="shared" si="2"/>
        <v>3.2971337273302471E-4</v>
      </c>
      <c r="S17" s="89">
        <f t="shared" si="2"/>
        <v>2.9059732940528389E-4</v>
      </c>
      <c r="T17" s="9"/>
      <c r="U17" s="9"/>
      <c r="V17" s="82" t="s">
        <v>46</v>
      </c>
      <c r="W17" s="31">
        <v>285</v>
      </c>
      <c r="X17" s="146"/>
    </row>
    <row r="18" spans="1:24" s="2" customFormat="1" ht="15.75" x14ac:dyDescent="0.25">
      <c r="A18" s="21" t="s">
        <v>79</v>
      </c>
      <c r="B18" s="26" t="s">
        <v>47</v>
      </c>
      <c r="C18" s="88">
        <f>(C16-C17)/C16</f>
        <v>0.99997688552503805</v>
      </c>
      <c r="D18" s="88">
        <f t="shared" ref="D18:S18" si="3">(D16-D17)/D16</f>
        <v>0.99997688552503805</v>
      </c>
      <c r="E18" s="88">
        <f t="shared" si="3"/>
        <v>0.99997688552503794</v>
      </c>
      <c r="F18" s="88">
        <f t="shared" si="3"/>
        <v>0.99997688552503805</v>
      </c>
      <c r="G18" s="88">
        <f t="shared" si="3"/>
        <v>0.99997688552503805</v>
      </c>
      <c r="H18" s="88">
        <f t="shared" si="3"/>
        <v>0.99997688552503805</v>
      </c>
      <c r="I18" s="88">
        <f t="shared" si="3"/>
        <v>0.99997688552503805</v>
      </c>
      <c r="J18" s="88">
        <f t="shared" si="3"/>
        <v>0.99997688552503805</v>
      </c>
      <c r="K18" s="88">
        <f t="shared" si="3"/>
        <v>0.99997688552503805</v>
      </c>
      <c r="L18" s="88">
        <f t="shared" si="3"/>
        <v>0.99997688552503805</v>
      </c>
      <c r="M18" s="88">
        <f t="shared" si="3"/>
        <v>0.99997688552503805</v>
      </c>
      <c r="N18" s="88">
        <f t="shared" si="3"/>
        <v>0.99997688552503805</v>
      </c>
      <c r="O18" s="88">
        <f t="shared" si="3"/>
        <v>0.99997688552503805</v>
      </c>
      <c r="P18" s="88">
        <f t="shared" si="3"/>
        <v>0.99997688552503805</v>
      </c>
      <c r="Q18" s="88">
        <f t="shared" si="3"/>
        <v>0.99997688552503805</v>
      </c>
      <c r="R18" s="88">
        <f t="shared" si="3"/>
        <v>0.99997688552503816</v>
      </c>
      <c r="S18" s="88">
        <f t="shared" si="3"/>
        <v>0.99997688552503805</v>
      </c>
      <c r="T18" s="9"/>
      <c r="U18" s="9"/>
      <c r="V18" s="82" t="s">
        <v>48</v>
      </c>
      <c r="W18" s="31">
        <v>0.6</v>
      </c>
      <c r="X18" s="146"/>
    </row>
    <row r="19" spans="1:24" s="2" customFormat="1" ht="14.25" x14ac:dyDescent="0.25">
      <c r="B19" s="25" t="s">
        <v>49</v>
      </c>
      <c r="C19" s="89">
        <f t="shared" ref="C19:S19" si="4">C16/C18</f>
        <v>16.77372104908854</v>
      </c>
      <c r="D19" s="89">
        <f t="shared" si="4"/>
        <v>20.14861387277903</v>
      </c>
      <c r="E19" s="89">
        <f t="shared" si="4"/>
        <v>11.235042300799613</v>
      </c>
      <c r="F19" s="89">
        <f t="shared" si="4"/>
        <v>17.000392955157306</v>
      </c>
      <c r="G19" s="89">
        <f t="shared" si="4"/>
        <v>15.042771948199798</v>
      </c>
      <c r="H19" s="89">
        <f t="shared" si="4"/>
        <v>11.939262636453941</v>
      </c>
      <c r="I19" s="89">
        <f t="shared" si="4"/>
        <v>12.376286071354517</v>
      </c>
      <c r="J19" s="89">
        <f t="shared" si="4"/>
        <v>12.104279784072002</v>
      </c>
      <c r="K19" s="89">
        <f t="shared" si="4"/>
        <v>13.758984698373979</v>
      </c>
      <c r="L19" s="89">
        <f t="shared" si="4"/>
        <v>13.146970551988316</v>
      </c>
      <c r="M19" s="89">
        <f t="shared" si="4"/>
        <v>9.8685207886035098</v>
      </c>
      <c r="N19" s="89">
        <f t="shared" si="4"/>
        <v>15.111460404584271</v>
      </c>
      <c r="O19" s="89">
        <f t="shared" si="4"/>
        <v>11.900275068610114</v>
      </c>
      <c r="P19" s="89">
        <f t="shared" si="4"/>
        <v>15.867033424813485</v>
      </c>
      <c r="Q19" s="89">
        <f t="shared" si="4"/>
        <v>13.600314364125843</v>
      </c>
      <c r="R19" s="89">
        <f t="shared" si="4"/>
        <v>14.264697537086015</v>
      </c>
      <c r="S19" s="89">
        <f t="shared" si="4"/>
        <v>12.572383627302379</v>
      </c>
      <c r="T19" s="18"/>
      <c r="U19" s="9"/>
      <c r="V19" s="82" t="s">
        <v>50</v>
      </c>
      <c r="W19" s="31">
        <v>0.2</v>
      </c>
      <c r="X19" s="146"/>
    </row>
    <row r="20" spans="1:24" s="2" customFormat="1" ht="14.25" x14ac:dyDescent="0.25">
      <c r="A20" s="21"/>
      <c r="B20" s="25" t="s">
        <v>51</v>
      </c>
      <c r="C20" s="89">
        <f>C15*$W$12/($W$15*$W$14*$C$10)*1000</f>
        <v>3.7</v>
      </c>
      <c r="D20" s="89">
        <f>D15*$W$12/($W$15*$W$14*$C$10)*1000</f>
        <v>4.4444444444444446</v>
      </c>
      <c r="E20" s="89">
        <f t="shared" ref="E20:S20" si="5">E15*$W$12/($W$15*$W$14*$C$10)*1000</f>
        <v>2.4782608695652173</v>
      </c>
      <c r="F20" s="89">
        <f t="shared" si="5"/>
        <v>3.75</v>
      </c>
      <c r="G20" s="89">
        <f t="shared" si="5"/>
        <v>3.3181818181818183</v>
      </c>
      <c r="H20" s="89">
        <f t="shared" si="5"/>
        <v>2.6335999999999999</v>
      </c>
      <c r="I20" s="89">
        <f t="shared" si="5"/>
        <v>2.73</v>
      </c>
      <c r="J20" s="89">
        <f t="shared" si="5"/>
        <v>2.67</v>
      </c>
      <c r="K20" s="89">
        <f t="shared" si="5"/>
        <v>3.0350000000000001</v>
      </c>
      <c r="L20" s="89">
        <f t="shared" si="5"/>
        <v>2.9</v>
      </c>
      <c r="M20" s="89">
        <f t="shared" si="5"/>
        <v>2.1768292682926833</v>
      </c>
      <c r="N20" s="89">
        <f t="shared" si="5"/>
        <v>3.333333333333333</v>
      </c>
      <c r="O20" s="89">
        <f t="shared" si="5"/>
        <v>2.625</v>
      </c>
      <c r="P20" s="89">
        <f t="shared" si="5"/>
        <v>3.5</v>
      </c>
      <c r="Q20" s="89">
        <f t="shared" si="5"/>
        <v>3</v>
      </c>
      <c r="R20" s="89">
        <f t="shared" si="5"/>
        <v>3.146551724137931</v>
      </c>
      <c r="S20" s="89">
        <f t="shared" si="5"/>
        <v>2.7732558139534884</v>
      </c>
      <c r="T20" s="18"/>
      <c r="U20" s="9"/>
      <c r="V20" s="82" t="s">
        <v>52</v>
      </c>
      <c r="W20" s="31">
        <v>0.2</v>
      </c>
      <c r="X20" s="146"/>
    </row>
    <row r="21" spans="1:24" s="2" customFormat="1" ht="14.25" x14ac:dyDescent="0.25">
      <c r="A21" s="21"/>
      <c r="B21" s="25" t="s">
        <v>53</v>
      </c>
      <c r="C21" s="89">
        <f t="shared" ref="C21:S21" si="6">C20/C18</f>
        <v>3.7000855255342371</v>
      </c>
      <c r="D21" s="89">
        <f t="shared" si="6"/>
        <v>4.4445471778189036</v>
      </c>
      <c r="E21" s="89">
        <f t="shared" si="6"/>
        <v>2.4783181545881496</v>
      </c>
      <c r="F21" s="89">
        <f t="shared" si="6"/>
        <v>3.7500866812846998</v>
      </c>
      <c r="G21" s="89">
        <f t="shared" si="6"/>
        <v>3.3182585179852495</v>
      </c>
      <c r="H21" s="89">
        <f t="shared" si="6"/>
        <v>2.6336608756883693</v>
      </c>
      <c r="I21" s="89">
        <f t="shared" si="6"/>
        <v>2.7300631039752612</v>
      </c>
      <c r="J21" s="89">
        <f t="shared" si="6"/>
        <v>2.6700617170747063</v>
      </c>
      <c r="K21" s="89">
        <f t="shared" si="6"/>
        <v>3.0350701540530838</v>
      </c>
      <c r="L21" s="89">
        <f t="shared" si="6"/>
        <v>2.9000670335268341</v>
      </c>
      <c r="M21" s="89">
        <f t="shared" si="6"/>
        <v>2.1768795857213625</v>
      </c>
      <c r="N21" s="89">
        <f t="shared" si="6"/>
        <v>3.3334103833641771</v>
      </c>
      <c r="O21" s="89">
        <f t="shared" si="6"/>
        <v>2.6250606768992899</v>
      </c>
      <c r="P21" s="89">
        <f t="shared" si="6"/>
        <v>3.5000809025323862</v>
      </c>
      <c r="Q21" s="89">
        <f t="shared" si="6"/>
        <v>3.0000693450277596</v>
      </c>
      <c r="R21" s="89">
        <f t="shared" si="6"/>
        <v>3.1466244567101498</v>
      </c>
      <c r="S21" s="89">
        <f t="shared" si="6"/>
        <v>2.7733199177872896</v>
      </c>
      <c r="T21" s="9"/>
      <c r="U21" s="9"/>
      <c r="V21" s="82" t="s">
        <v>54</v>
      </c>
      <c r="W21" s="31">
        <v>0.02</v>
      </c>
      <c r="X21" s="146"/>
    </row>
    <row r="22" spans="1:24" s="2" customFormat="1" ht="12.75" customHeight="1" x14ac:dyDescent="0.25">
      <c r="A22" s="21"/>
      <c r="B22" s="25" t="s">
        <v>56</v>
      </c>
      <c r="C22" s="89">
        <f>C20*$W$15/($W$29*1000)</f>
        <v>0.3456043956043956</v>
      </c>
      <c r="D22" s="89">
        <f>D20*$W$15/($W$29*1000)</f>
        <v>0.41514041514041516</v>
      </c>
      <c r="E22" s="89">
        <f t="shared" ref="E22:S22" si="7">E20*$W$15/($W$29*1000)</f>
        <v>0.23148590539894884</v>
      </c>
      <c r="F22" s="89">
        <f t="shared" si="7"/>
        <v>0.35027472527472525</v>
      </c>
      <c r="G22" s="89">
        <f t="shared" si="7"/>
        <v>0.30994005994005996</v>
      </c>
      <c r="H22" s="89">
        <f t="shared" si="7"/>
        <v>0.24599560439560439</v>
      </c>
      <c r="I22" s="89">
        <f t="shared" si="7"/>
        <v>0.255</v>
      </c>
      <c r="J22" s="89">
        <f t="shared" si="7"/>
        <v>0.2493956043956044</v>
      </c>
      <c r="K22" s="89">
        <f t="shared" si="7"/>
        <v>0.28348901098901097</v>
      </c>
      <c r="L22" s="89">
        <f t="shared" si="7"/>
        <v>0.27087912087912086</v>
      </c>
      <c r="M22" s="89">
        <f t="shared" si="7"/>
        <v>0.20333020637898691</v>
      </c>
      <c r="N22" s="89">
        <f t="shared" si="7"/>
        <v>0.3113553113553113</v>
      </c>
      <c r="O22" s="89">
        <f t="shared" si="7"/>
        <v>0.24519230769230768</v>
      </c>
      <c r="P22" s="89">
        <f t="shared" si="7"/>
        <v>0.32692307692307693</v>
      </c>
      <c r="Q22" s="89">
        <f t="shared" si="7"/>
        <v>0.28021978021978022</v>
      </c>
      <c r="R22" s="89">
        <f t="shared" si="7"/>
        <v>0.29390867752936717</v>
      </c>
      <c r="S22" s="89">
        <f t="shared" si="7"/>
        <v>0.25904037822642473</v>
      </c>
      <c r="T22" s="9"/>
      <c r="U22" s="9"/>
      <c r="V22" s="82" t="s">
        <v>57</v>
      </c>
      <c r="W22" s="31">
        <v>2500</v>
      </c>
      <c r="X22" s="146"/>
    </row>
    <row r="23" spans="1:24" s="2" customFormat="1" ht="15.75" x14ac:dyDescent="0.25">
      <c r="A23" s="21"/>
      <c r="B23" s="25" t="s">
        <v>80</v>
      </c>
      <c r="C23" s="89">
        <f>C22/3</f>
        <v>0.11520146520146519</v>
      </c>
      <c r="D23" s="89">
        <f t="shared" ref="D23:S23" si="8">D22/3</f>
        <v>0.13838013838013838</v>
      </c>
      <c r="E23" s="89">
        <f t="shared" si="8"/>
        <v>7.7161968466316275E-2</v>
      </c>
      <c r="F23" s="89">
        <f t="shared" si="8"/>
        <v>0.11675824175824175</v>
      </c>
      <c r="G23" s="89">
        <f t="shared" si="8"/>
        <v>0.10331335331335333</v>
      </c>
      <c r="H23" s="89">
        <f t="shared" si="8"/>
        <v>8.1998534798534792E-2</v>
      </c>
      <c r="I23" s="89">
        <f t="shared" si="8"/>
        <v>8.5000000000000006E-2</v>
      </c>
      <c r="J23" s="89">
        <f t="shared" si="8"/>
        <v>8.3131868131868139E-2</v>
      </c>
      <c r="K23" s="89">
        <f t="shared" si="8"/>
        <v>9.4496336996336985E-2</v>
      </c>
      <c r="L23" s="89">
        <f t="shared" si="8"/>
        <v>9.0293040293040291E-2</v>
      </c>
      <c r="M23" s="89">
        <f t="shared" si="8"/>
        <v>6.7776735459662299E-2</v>
      </c>
      <c r="N23" s="89">
        <f t="shared" si="8"/>
        <v>0.10378510378510376</v>
      </c>
      <c r="O23" s="89">
        <f t="shared" si="8"/>
        <v>8.1730769230769232E-2</v>
      </c>
      <c r="P23" s="89">
        <f t="shared" si="8"/>
        <v>0.10897435897435898</v>
      </c>
      <c r="Q23" s="89">
        <f t="shared" si="8"/>
        <v>9.3406593406593408E-2</v>
      </c>
      <c r="R23" s="89">
        <f t="shared" si="8"/>
        <v>9.7969559176455723E-2</v>
      </c>
      <c r="S23" s="89">
        <f t="shared" si="8"/>
        <v>8.6346792742141576E-2</v>
      </c>
      <c r="T23" s="9"/>
      <c r="U23" s="9"/>
      <c r="V23" s="82" t="s">
        <v>58</v>
      </c>
      <c r="W23" s="31">
        <v>1150</v>
      </c>
      <c r="X23" s="146"/>
    </row>
    <row r="24" spans="1:24" s="2" customFormat="1" x14ac:dyDescent="0.2">
      <c r="A24" s="21"/>
      <c r="B24" s="25" t="s">
        <v>81</v>
      </c>
      <c r="C24" s="89">
        <f>C20*$W$15/(C18*$W$29*1000)</f>
        <v>0.34561238425319796</v>
      </c>
      <c r="D24" s="89">
        <f t="shared" ref="D24:S24" si="9">D20*$W$15/(D18*$W$29*1000)</f>
        <v>0.41515001111495248</v>
      </c>
      <c r="E24" s="89">
        <f t="shared" si="9"/>
        <v>0.23149125619779418</v>
      </c>
      <c r="F24" s="89">
        <f t="shared" si="9"/>
        <v>0.35028282187824117</v>
      </c>
      <c r="G24" s="89">
        <f t="shared" si="9"/>
        <v>0.30994722420741339</v>
      </c>
      <c r="H24" s="89">
        <f t="shared" si="9"/>
        <v>0.24600129058627623</v>
      </c>
      <c r="I24" s="89">
        <f t="shared" si="9"/>
        <v>0.25500589432735959</v>
      </c>
      <c r="J24" s="89">
        <f t="shared" si="9"/>
        <v>0.24940136917730771</v>
      </c>
      <c r="K24" s="89">
        <f t="shared" si="9"/>
        <v>0.2834955638401232</v>
      </c>
      <c r="L24" s="89">
        <f t="shared" si="9"/>
        <v>0.27088538225250652</v>
      </c>
      <c r="M24" s="89">
        <f t="shared" si="9"/>
        <v>0.20333490635858881</v>
      </c>
      <c r="N24" s="89">
        <f t="shared" si="9"/>
        <v>0.31136250833621432</v>
      </c>
      <c r="O24" s="89">
        <f t="shared" si="9"/>
        <v>0.24519797531476881</v>
      </c>
      <c r="P24" s="89">
        <f t="shared" si="9"/>
        <v>0.32693063375302511</v>
      </c>
      <c r="Q24" s="89">
        <f t="shared" si="9"/>
        <v>0.28022625750259295</v>
      </c>
      <c r="R24" s="89">
        <f t="shared" si="9"/>
        <v>0.29391547123116779</v>
      </c>
      <c r="S24" s="89">
        <f t="shared" si="9"/>
        <v>0.2590463659471644</v>
      </c>
      <c r="T24" s="9"/>
      <c r="U24" s="9"/>
      <c r="V24" s="82" t="s">
        <v>59</v>
      </c>
      <c r="W24" s="31">
        <v>0.9</v>
      </c>
      <c r="X24" s="146"/>
    </row>
    <row r="25" spans="1:24" s="2" customFormat="1" ht="15" x14ac:dyDescent="0.2">
      <c r="A25" s="21"/>
      <c r="B25" s="25" t="s">
        <v>82</v>
      </c>
      <c r="C25" s="89">
        <f>C24/3</f>
        <v>0.11520412808439932</v>
      </c>
      <c r="D25" s="89">
        <f t="shared" ref="D25:S25" si="10">D24/3</f>
        <v>0.13838333703831748</v>
      </c>
      <c r="E25" s="89">
        <f t="shared" si="10"/>
        <v>7.7163752065931387E-2</v>
      </c>
      <c r="F25" s="89">
        <f t="shared" si="10"/>
        <v>0.11676094062608039</v>
      </c>
      <c r="G25" s="89">
        <f t="shared" si="10"/>
        <v>0.10331574140247113</v>
      </c>
      <c r="H25" s="89">
        <f t="shared" si="10"/>
        <v>8.2000430195425411E-2</v>
      </c>
      <c r="I25" s="89">
        <f t="shared" si="10"/>
        <v>8.5001964775786532E-2</v>
      </c>
      <c r="J25" s="89">
        <f t="shared" si="10"/>
        <v>8.3133789725769236E-2</v>
      </c>
      <c r="K25" s="89">
        <f t="shared" si="10"/>
        <v>9.4498521280041062E-2</v>
      </c>
      <c r="L25" s="89">
        <f t="shared" si="10"/>
        <v>9.0295127417502175E-2</v>
      </c>
      <c r="M25" s="89">
        <f t="shared" si="10"/>
        <v>6.7778302119529607E-2</v>
      </c>
      <c r="N25" s="89">
        <f t="shared" si="10"/>
        <v>0.10378750277873811</v>
      </c>
      <c r="O25" s="89">
        <f t="shared" si="10"/>
        <v>8.1732658438256264E-2</v>
      </c>
      <c r="P25" s="89">
        <f t="shared" si="10"/>
        <v>0.10897687791767503</v>
      </c>
      <c r="Q25" s="89">
        <f t="shared" si="10"/>
        <v>9.340875250086432E-2</v>
      </c>
      <c r="R25" s="89">
        <f t="shared" si="10"/>
        <v>9.7971823743722597E-2</v>
      </c>
      <c r="S25" s="89">
        <f t="shared" si="10"/>
        <v>8.6348788649054806E-2</v>
      </c>
      <c r="T25" s="9"/>
      <c r="U25" s="9"/>
      <c r="V25" s="82" t="s">
        <v>60</v>
      </c>
      <c r="W25" s="31">
        <v>1000</v>
      </c>
      <c r="X25" s="146"/>
    </row>
    <row r="26" spans="1:24" s="2" customFormat="1" x14ac:dyDescent="0.2">
      <c r="A26" s="21"/>
      <c r="B26" s="25" t="s">
        <v>83</v>
      </c>
      <c r="C26" s="89">
        <f t="shared" ref="C26:S26" si="11">($W$32/$W$23)*C23*$W$25*($W$23/($W$26*$W$22))</f>
        <v>7.3268131868131858</v>
      </c>
      <c r="D26" s="89">
        <f t="shared" si="11"/>
        <v>8.8009768009768017</v>
      </c>
      <c r="E26" s="89">
        <f t="shared" si="11"/>
        <v>4.9075011944577156</v>
      </c>
      <c r="F26" s="89">
        <f t="shared" si="11"/>
        <v>7.4258241758241752</v>
      </c>
      <c r="G26" s="89">
        <f t="shared" si="11"/>
        <v>6.570729270729271</v>
      </c>
      <c r="H26" s="89">
        <f t="shared" si="11"/>
        <v>5.2151068131868126</v>
      </c>
      <c r="I26" s="89">
        <f t="shared" si="11"/>
        <v>5.4060000000000006</v>
      </c>
      <c r="J26" s="89">
        <f t="shared" si="11"/>
        <v>5.2871868131868132</v>
      </c>
      <c r="K26" s="89">
        <f t="shared" si="11"/>
        <v>6.0099670329670314</v>
      </c>
      <c r="L26" s="89">
        <f t="shared" si="11"/>
        <v>5.742637362637363</v>
      </c>
      <c r="M26" s="89">
        <f t="shared" si="11"/>
        <v>4.3106003752345217</v>
      </c>
      <c r="N26" s="89">
        <f t="shared" si="11"/>
        <v>6.6007326007325986</v>
      </c>
      <c r="O26" s="89">
        <f t="shared" si="11"/>
        <v>5.1980769230769228</v>
      </c>
      <c r="P26" s="89">
        <f t="shared" si="11"/>
        <v>6.9307692307692301</v>
      </c>
      <c r="Q26" s="89">
        <f t="shared" si="11"/>
        <v>5.9406593406593409</v>
      </c>
      <c r="R26" s="89">
        <f t="shared" si="11"/>
        <v>6.2308639636225838</v>
      </c>
      <c r="S26" s="89">
        <f t="shared" si="11"/>
        <v>5.4916560184002048</v>
      </c>
      <c r="T26" s="9"/>
      <c r="U26" s="9"/>
      <c r="V26" s="82" t="s">
        <v>61</v>
      </c>
      <c r="W26" s="31">
        <v>0.1</v>
      </c>
      <c r="X26" s="146"/>
    </row>
    <row r="27" spans="1:24" s="2" customFormat="1" ht="13.5" thickBot="1" x14ac:dyDescent="0.25">
      <c r="A27" s="21"/>
      <c r="B27" s="25" t="s">
        <v>84</v>
      </c>
      <c r="C27" s="89">
        <f t="shared" ref="C27:S27" si="12">($W$32/$W$23)*C25*$W$25*($W$23/($W$26*$W$22))</f>
        <v>7.3269825461677973</v>
      </c>
      <c r="D27" s="89">
        <f t="shared" si="12"/>
        <v>8.801180235636993</v>
      </c>
      <c r="E27" s="89">
        <f t="shared" si="12"/>
        <v>4.9076146313932361</v>
      </c>
      <c r="F27" s="89">
        <f t="shared" si="12"/>
        <v>7.4259958238187123</v>
      </c>
      <c r="G27" s="89">
        <f t="shared" si="12"/>
        <v>6.5708811531971634</v>
      </c>
      <c r="H27" s="89">
        <f t="shared" si="12"/>
        <v>5.215227360429056</v>
      </c>
      <c r="I27" s="89">
        <f t="shared" si="12"/>
        <v>5.4061249597400236</v>
      </c>
      <c r="J27" s="89">
        <f t="shared" si="12"/>
        <v>5.2873090265589227</v>
      </c>
      <c r="K27" s="89">
        <f t="shared" si="12"/>
        <v>6.0101059534106112</v>
      </c>
      <c r="L27" s="89">
        <f t="shared" si="12"/>
        <v>5.7427701037531387</v>
      </c>
      <c r="M27" s="89">
        <f t="shared" si="12"/>
        <v>4.3107000148020829</v>
      </c>
      <c r="N27" s="89">
        <f t="shared" si="12"/>
        <v>6.6008851767277434</v>
      </c>
      <c r="O27" s="89">
        <f t="shared" si="12"/>
        <v>5.1981970766730985</v>
      </c>
      <c r="P27" s="89">
        <f t="shared" si="12"/>
        <v>6.9309294355641322</v>
      </c>
      <c r="Q27" s="89">
        <f t="shared" si="12"/>
        <v>5.9407966590549703</v>
      </c>
      <c r="R27" s="89">
        <f t="shared" si="12"/>
        <v>6.2310079901007569</v>
      </c>
      <c r="S27" s="89">
        <f t="shared" si="12"/>
        <v>5.4917829580798854</v>
      </c>
      <c r="T27" s="9"/>
      <c r="U27" s="9"/>
      <c r="V27" s="83" t="s">
        <v>62</v>
      </c>
      <c r="W27" s="84">
        <v>0.1</v>
      </c>
      <c r="X27" s="147"/>
    </row>
    <row r="28" spans="1:24" s="2" customFormat="1" ht="15.75" customHeight="1" x14ac:dyDescent="0.25">
      <c r="A28" s="21"/>
      <c r="B28" s="25"/>
      <c r="C28" s="89"/>
      <c r="D28" s="89"/>
      <c r="E28" s="89"/>
      <c r="F28" s="89"/>
      <c r="G28" s="89"/>
      <c r="H28" s="89"/>
      <c r="I28" s="89"/>
      <c r="J28" s="89"/>
      <c r="K28" s="89"/>
      <c r="L28" s="89"/>
      <c r="M28" s="89"/>
      <c r="N28" s="89"/>
      <c r="O28" s="89"/>
      <c r="P28" s="90"/>
      <c r="Q28" s="90"/>
      <c r="R28" s="90"/>
      <c r="S28" s="90"/>
      <c r="T28" s="14"/>
      <c r="U28" s="9"/>
      <c r="V28" s="80" t="s">
        <v>63</v>
      </c>
      <c r="W28" s="81">
        <f>C5*W21</f>
        <v>12</v>
      </c>
      <c r="X28" s="148" t="s">
        <v>64</v>
      </c>
    </row>
    <row r="29" spans="1:24" s="2" customFormat="1" ht="25.5" thickBot="1" x14ac:dyDescent="0.3">
      <c r="A29" s="21"/>
      <c r="B29" s="30" t="s">
        <v>85</v>
      </c>
      <c r="C29" s="90">
        <f>C16*$C$9*1500/100000</f>
        <v>1.2579999999999999E-2</v>
      </c>
      <c r="D29" s="90">
        <f t="shared" ref="D29:S29" si="13">D16*$C$9*1500/100000</f>
        <v>1.5111111111111113E-2</v>
      </c>
      <c r="E29" s="90">
        <f t="shared" si="13"/>
        <v>8.4260869565217396E-3</v>
      </c>
      <c r="F29" s="90">
        <f t="shared" si="13"/>
        <v>1.2750000000000003E-2</v>
      </c>
      <c r="G29" s="90">
        <f t="shared" si="13"/>
        <v>1.1281818181818183E-2</v>
      </c>
      <c r="H29" s="90">
        <f t="shared" si="13"/>
        <v>8.9542400000000005E-3</v>
      </c>
      <c r="I29" s="90">
        <f t="shared" si="13"/>
        <v>9.2820000000000003E-3</v>
      </c>
      <c r="J29" s="90">
        <f t="shared" si="13"/>
        <v>9.078000000000001E-3</v>
      </c>
      <c r="K29" s="90">
        <f t="shared" si="13"/>
        <v>1.0319E-2</v>
      </c>
      <c r="L29" s="90">
        <f t="shared" si="13"/>
        <v>9.8600000000000007E-3</v>
      </c>
      <c r="M29" s="90">
        <f t="shared" si="13"/>
        <v>7.4012195121951228E-3</v>
      </c>
      <c r="N29" s="90">
        <f t="shared" si="13"/>
        <v>1.1333333333333332E-2</v>
      </c>
      <c r="O29" s="90">
        <f t="shared" si="13"/>
        <v>8.9250000000000006E-3</v>
      </c>
      <c r="P29" s="90">
        <f t="shared" si="13"/>
        <v>1.1900000000000003E-2</v>
      </c>
      <c r="Q29" s="90">
        <f t="shared" si="13"/>
        <v>1.0200000000000001E-2</v>
      </c>
      <c r="R29" s="90">
        <f t="shared" si="13"/>
        <v>1.0698275862068967E-2</v>
      </c>
      <c r="S29" s="90">
        <f t="shared" si="13"/>
        <v>9.4290697674418601E-3</v>
      </c>
      <c r="T29" s="19"/>
      <c r="U29" s="9"/>
      <c r="V29" s="82" t="s">
        <v>65</v>
      </c>
      <c r="W29" s="31">
        <f>(W20*W30)+W19+(W18*(W28/1000)*W22)</f>
        <v>18.2</v>
      </c>
      <c r="X29" s="149"/>
    </row>
    <row r="30" spans="1:24" s="2" customFormat="1" ht="15.75" x14ac:dyDescent="0.25">
      <c r="A30" s="21" t="s">
        <v>86</v>
      </c>
      <c r="B30" s="26" t="s">
        <v>87</v>
      </c>
      <c r="C30" s="91">
        <f t="shared" ref="C30:S30" si="14">C16/$H$3*(1-EXP(-LN(2)/$C$6*$H$4*$H$3))/(1-EXP(-LN(2)/$C$6*$H$4))</f>
        <v>8.4300462740998086</v>
      </c>
      <c r="D30" s="91">
        <f t="shared" si="14"/>
        <v>10.126181710630402</v>
      </c>
      <c r="E30" s="91">
        <f t="shared" si="14"/>
        <v>5.646446975601517</v>
      </c>
      <c r="F30" s="91">
        <f t="shared" si="14"/>
        <v>8.5439658183444003</v>
      </c>
      <c r="G30" s="91">
        <f t="shared" si="14"/>
        <v>7.5601152089592878</v>
      </c>
      <c r="H30" s="91">
        <f t="shared" si="14"/>
        <v>6.0003702344511503</v>
      </c>
      <c r="I30" s="91">
        <f t="shared" si="14"/>
        <v>6.220007115754723</v>
      </c>
      <c r="J30" s="91">
        <f t="shared" si="14"/>
        <v>6.0833036626612138</v>
      </c>
      <c r="K30" s="91">
        <f t="shared" si="14"/>
        <v>6.9149163356467342</v>
      </c>
      <c r="L30" s="91">
        <f t="shared" si="14"/>
        <v>6.6073335661863366</v>
      </c>
      <c r="M30" s="91">
        <f t="shared" si="14"/>
        <v>4.9596679628438229</v>
      </c>
      <c r="N30" s="91">
        <f t="shared" si="14"/>
        <v>7.5946362829728002</v>
      </c>
      <c r="O30" s="91">
        <f t="shared" si="14"/>
        <v>5.9807760728410804</v>
      </c>
      <c r="P30" s="91">
        <f t="shared" si="14"/>
        <v>7.9743680971214408</v>
      </c>
      <c r="Q30" s="91">
        <f t="shared" si="14"/>
        <v>6.83517265467552</v>
      </c>
      <c r="R30" s="91">
        <f t="shared" si="14"/>
        <v>7.169074767116566</v>
      </c>
      <c r="S30" s="91">
        <f t="shared" si="14"/>
        <v>6.3185607679849287</v>
      </c>
      <c r="T30" s="14"/>
      <c r="U30" s="9"/>
      <c r="V30" s="82" t="s">
        <v>66</v>
      </c>
      <c r="W30" s="31">
        <f>(C2*C3)/(C4*W16*W17)</f>
        <v>0</v>
      </c>
      <c r="X30" s="149"/>
    </row>
    <row r="31" spans="1:24" s="2" customFormat="1" ht="15.75" thickBot="1" x14ac:dyDescent="0.25">
      <c r="A31" s="22"/>
      <c r="B31" s="25"/>
      <c r="C31" s="90"/>
      <c r="D31" s="90"/>
      <c r="E31" s="90"/>
      <c r="F31" s="90"/>
      <c r="G31" s="90"/>
      <c r="H31" s="90"/>
      <c r="I31" s="90"/>
      <c r="J31" s="90"/>
      <c r="K31" s="90"/>
      <c r="L31" s="90"/>
      <c r="M31" s="90"/>
      <c r="N31" s="90"/>
      <c r="O31" s="90"/>
      <c r="P31" s="90"/>
      <c r="Q31" s="90"/>
      <c r="R31" s="90"/>
      <c r="S31" s="90"/>
      <c r="T31" s="14"/>
      <c r="U31" s="9"/>
      <c r="V31" s="82" t="s">
        <v>67</v>
      </c>
      <c r="W31" s="31">
        <f>C5*W27</f>
        <v>60</v>
      </c>
      <c r="X31" s="149"/>
    </row>
    <row r="32" spans="1:24" s="2" customFormat="1" ht="16.5" thickBot="1" x14ac:dyDescent="0.3">
      <c r="A32" s="58" t="s">
        <v>88</v>
      </c>
      <c r="B32" s="26" t="s">
        <v>89</v>
      </c>
      <c r="C32" s="91">
        <f t="shared" ref="C32:S32" si="15">C15*EXP((-LN(2)/$H$5)*$H$6/2)*$W$12/($W$13*$W$14*$C$9)*1000</f>
        <v>16.773333333333333</v>
      </c>
      <c r="D32" s="91">
        <f t="shared" si="15"/>
        <v>20.148148148148149</v>
      </c>
      <c r="E32" s="91">
        <f t="shared" si="15"/>
        <v>11.234782608695653</v>
      </c>
      <c r="F32" s="91">
        <f t="shared" si="15"/>
        <v>17</v>
      </c>
      <c r="G32" s="91">
        <f t="shared" si="15"/>
        <v>15.042424242424243</v>
      </c>
      <c r="H32" s="91">
        <f t="shared" si="15"/>
        <v>11.938986666666667</v>
      </c>
      <c r="I32" s="91">
        <f t="shared" si="15"/>
        <v>12.375999999999999</v>
      </c>
      <c r="J32" s="91">
        <f t="shared" si="15"/>
        <v>12.104000000000001</v>
      </c>
      <c r="K32" s="91">
        <f t="shared" si="15"/>
        <v>13.758666666666667</v>
      </c>
      <c r="L32" s="91">
        <f t="shared" si="15"/>
        <v>13.146666666666667</v>
      </c>
      <c r="M32" s="91">
        <f t="shared" si="15"/>
        <v>9.86829268292683</v>
      </c>
      <c r="N32" s="91">
        <f t="shared" si="15"/>
        <v>15.111111111111111</v>
      </c>
      <c r="O32" s="91">
        <f t="shared" si="15"/>
        <v>11.9</v>
      </c>
      <c r="P32" s="91">
        <f t="shared" si="15"/>
        <v>15.866666666666667</v>
      </c>
      <c r="Q32" s="91">
        <f t="shared" si="15"/>
        <v>13.6</v>
      </c>
      <c r="R32" s="91">
        <f t="shared" si="15"/>
        <v>14.264367816091955</v>
      </c>
      <c r="S32" s="91">
        <f t="shared" si="15"/>
        <v>12.572093023255814</v>
      </c>
      <c r="T32" s="14"/>
      <c r="U32" s="9"/>
      <c r="V32" s="83" t="s">
        <v>68</v>
      </c>
      <c r="W32" s="84">
        <f>W24+(W26*(W31/W25)*W22)</f>
        <v>15.9</v>
      </c>
      <c r="X32" s="150"/>
    </row>
    <row r="33" spans="1:24" s="2" customFormat="1" x14ac:dyDescent="0.2">
      <c r="A33" s="21" t="s">
        <v>90</v>
      </c>
      <c r="B33" s="25" t="s">
        <v>91</v>
      </c>
      <c r="C33" s="89">
        <f t="shared" ref="C33:S33" si="16">C15*EXP((-LN(2)/$H$5)*$H$6/2)*$W$12/($W$15*$W$14*$C$10)*1000</f>
        <v>3.7</v>
      </c>
      <c r="D33" s="89">
        <f t="shared" si="16"/>
        <v>4.4444444444444446</v>
      </c>
      <c r="E33" s="89">
        <f t="shared" si="16"/>
        <v>2.4782608695652173</v>
      </c>
      <c r="F33" s="89">
        <f t="shared" si="16"/>
        <v>3.75</v>
      </c>
      <c r="G33" s="89">
        <f t="shared" si="16"/>
        <v>3.3181818181818183</v>
      </c>
      <c r="H33" s="89">
        <f t="shared" si="16"/>
        <v>2.6335999999999999</v>
      </c>
      <c r="I33" s="89">
        <f t="shared" si="16"/>
        <v>2.73</v>
      </c>
      <c r="J33" s="89">
        <f t="shared" si="16"/>
        <v>2.67</v>
      </c>
      <c r="K33" s="89">
        <f t="shared" si="16"/>
        <v>3.0350000000000001</v>
      </c>
      <c r="L33" s="89">
        <f t="shared" si="16"/>
        <v>2.9</v>
      </c>
      <c r="M33" s="89">
        <f t="shared" si="16"/>
        <v>2.1768292682926833</v>
      </c>
      <c r="N33" s="89">
        <f t="shared" si="16"/>
        <v>3.333333333333333</v>
      </c>
      <c r="O33" s="89">
        <f t="shared" si="16"/>
        <v>2.625</v>
      </c>
      <c r="P33" s="89">
        <f t="shared" si="16"/>
        <v>3.5</v>
      </c>
      <c r="Q33" s="89">
        <f t="shared" si="16"/>
        <v>3</v>
      </c>
      <c r="R33" s="89">
        <f t="shared" si="16"/>
        <v>3.146551724137931</v>
      </c>
      <c r="S33" s="89">
        <f t="shared" si="16"/>
        <v>2.7732558139534884</v>
      </c>
      <c r="T33" s="14"/>
      <c r="U33" s="9"/>
      <c r="V33" s="56"/>
      <c r="W33" s="56"/>
      <c r="X33" s="57"/>
    </row>
    <row r="34" spans="1:24" s="2" customFormat="1" x14ac:dyDescent="0.2">
      <c r="A34" s="7"/>
      <c r="B34" s="25" t="s">
        <v>92</v>
      </c>
      <c r="C34" s="89">
        <f>C33*$W$15/($W$29*1000)</f>
        <v>0.3456043956043956</v>
      </c>
      <c r="D34" s="89">
        <f t="shared" ref="D34:S34" si="17">D33*$W$15/($W$29*1000)</f>
        <v>0.41514041514041516</v>
      </c>
      <c r="E34" s="89">
        <f t="shared" si="17"/>
        <v>0.23148590539894884</v>
      </c>
      <c r="F34" s="89">
        <f t="shared" si="17"/>
        <v>0.35027472527472525</v>
      </c>
      <c r="G34" s="89">
        <f t="shared" si="17"/>
        <v>0.30994005994005996</v>
      </c>
      <c r="H34" s="89">
        <f t="shared" si="17"/>
        <v>0.24599560439560439</v>
      </c>
      <c r="I34" s="89">
        <f t="shared" si="17"/>
        <v>0.255</v>
      </c>
      <c r="J34" s="89">
        <f t="shared" si="17"/>
        <v>0.2493956043956044</v>
      </c>
      <c r="K34" s="89">
        <f t="shared" si="17"/>
        <v>0.28348901098901097</v>
      </c>
      <c r="L34" s="89">
        <f t="shared" si="17"/>
        <v>0.27087912087912086</v>
      </c>
      <c r="M34" s="89">
        <f t="shared" si="17"/>
        <v>0.20333020637898691</v>
      </c>
      <c r="N34" s="89">
        <f t="shared" si="17"/>
        <v>0.3113553113553113</v>
      </c>
      <c r="O34" s="89">
        <f t="shared" si="17"/>
        <v>0.24519230769230768</v>
      </c>
      <c r="P34" s="89">
        <f t="shared" si="17"/>
        <v>0.32692307692307693</v>
      </c>
      <c r="Q34" s="89">
        <f t="shared" si="17"/>
        <v>0.28021978021978022</v>
      </c>
      <c r="R34" s="89">
        <f t="shared" si="17"/>
        <v>0.29390867752936717</v>
      </c>
      <c r="S34" s="89">
        <f t="shared" si="17"/>
        <v>0.25904037822642473</v>
      </c>
      <c r="T34" s="14"/>
      <c r="U34" s="9"/>
      <c r="V34" s="56"/>
      <c r="W34" s="56"/>
      <c r="X34" s="57"/>
    </row>
    <row r="35" spans="1:24" s="2" customFormat="1" ht="13.5" thickBot="1" x14ac:dyDescent="0.25">
      <c r="A35" s="59"/>
      <c r="B35" s="27" t="s">
        <v>93</v>
      </c>
      <c r="C35" s="92">
        <f>C34/3</f>
        <v>0.11520146520146519</v>
      </c>
      <c r="D35" s="92">
        <f t="shared" ref="D35:S35" si="18">D34/3</f>
        <v>0.13838013838013838</v>
      </c>
      <c r="E35" s="92">
        <f t="shared" si="18"/>
        <v>7.7161968466316275E-2</v>
      </c>
      <c r="F35" s="92">
        <f t="shared" si="18"/>
        <v>0.11675824175824175</v>
      </c>
      <c r="G35" s="92">
        <f t="shared" si="18"/>
        <v>0.10331335331335333</v>
      </c>
      <c r="H35" s="92">
        <f t="shared" si="18"/>
        <v>8.1998534798534792E-2</v>
      </c>
      <c r="I35" s="92">
        <f t="shared" si="18"/>
        <v>8.5000000000000006E-2</v>
      </c>
      <c r="J35" s="92">
        <f t="shared" si="18"/>
        <v>8.3131868131868139E-2</v>
      </c>
      <c r="K35" s="92">
        <f t="shared" si="18"/>
        <v>9.4496336996336985E-2</v>
      </c>
      <c r="L35" s="92">
        <f t="shared" si="18"/>
        <v>9.0293040293040291E-2</v>
      </c>
      <c r="M35" s="92">
        <f t="shared" si="18"/>
        <v>6.7776735459662299E-2</v>
      </c>
      <c r="N35" s="92">
        <f t="shared" si="18"/>
        <v>0.10378510378510376</v>
      </c>
      <c r="O35" s="92">
        <f t="shared" si="18"/>
        <v>8.1730769230769232E-2</v>
      </c>
      <c r="P35" s="92">
        <f t="shared" si="18"/>
        <v>0.10897435897435898</v>
      </c>
      <c r="Q35" s="92">
        <f t="shared" si="18"/>
        <v>9.3406593406593408E-2</v>
      </c>
      <c r="R35" s="92">
        <f t="shared" si="18"/>
        <v>9.7969559176455723E-2</v>
      </c>
      <c r="S35" s="92">
        <f t="shared" si="18"/>
        <v>8.6346792742141576E-2</v>
      </c>
      <c r="T35" s="14"/>
      <c r="U35" s="9"/>
      <c r="V35" s="56"/>
      <c r="W35" s="56"/>
      <c r="X35" s="57"/>
    </row>
    <row r="36" spans="1:24" s="2" customFormat="1" x14ac:dyDescent="0.2">
      <c r="A36" s="7"/>
      <c r="B36" s="8"/>
      <c r="C36" s="7"/>
      <c r="D36" s="7"/>
      <c r="E36" s="7"/>
      <c r="F36" s="7"/>
      <c r="G36" s="7"/>
      <c r="H36" s="7"/>
      <c r="I36" s="7"/>
      <c r="J36" s="7"/>
      <c r="K36" s="7"/>
      <c r="L36" s="7"/>
      <c r="M36" s="7"/>
      <c r="N36" s="7"/>
      <c r="O36" s="7"/>
      <c r="P36" s="7"/>
      <c r="Q36" s="7"/>
      <c r="R36" s="7"/>
      <c r="S36" s="7"/>
      <c r="T36" s="14"/>
      <c r="U36" s="9"/>
      <c r="V36" s="56"/>
      <c r="W36" s="56"/>
      <c r="X36" s="57"/>
    </row>
    <row r="37" spans="1:24" s="2" customFormat="1" x14ac:dyDescent="0.2">
      <c r="A37" s="7"/>
      <c r="E37" s="7"/>
      <c r="F37" s="7"/>
      <c r="G37" s="7"/>
      <c r="H37" s="7"/>
      <c r="I37" s="7"/>
      <c r="J37" s="7"/>
      <c r="K37" s="7"/>
      <c r="L37" s="7"/>
      <c r="M37" s="7"/>
      <c r="N37" s="7"/>
      <c r="O37" s="7"/>
      <c r="P37" s="7"/>
      <c r="Q37" s="7"/>
      <c r="R37" s="7"/>
      <c r="S37" s="7"/>
      <c r="T37" s="20"/>
      <c r="U37" s="9"/>
      <c r="V37" s="9"/>
      <c r="W37" s="9"/>
      <c r="X37" s="7"/>
    </row>
    <row r="38" spans="1:24" s="2" customFormat="1" x14ac:dyDescent="0.2">
      <c r="A38" s="7"/>
      <c r="E38" s="7"/>
      <c r="F38" s="7"/>
      <c r="G38" s="7"/>
      <c r="H38" s="7"/>
      <c r="I38" s="7"/>
      <c r="J38" s="7"/>
      <c r="K38" s="7"/>
      <c r="L38" s="7"/>
      <c r="M38" s="7"/>
      <c r="N38" s="7"/>
      <c r="O38" s="7"/>
      <c r="P38" s="7"/>
      <c r="Q38" s="7"/>
      <c r="R38" s="7"/>
      <c r="S38" s="7"/>
      <c r="T38" s="20"/>
      <c r="U38" s="9"/>
      <c r="V38" s="9"/>
      <c r="W38" s="9"/>
      <c r="X38" s="7"/>
    </row>
    <row r="39" spans="1:24" s="2" customFormat="1" x14ac:dyDescent="0.2">
      <c r="A39" s="7"/>
      <c r="E39" s="7"/>
      <c r="F39" s="7"/>
      <c r="G39" s="7"/>
      <c r="H39" s="7"/>
      <c r="I39" s="7"/>
      <c r="J39" s="7"/>
      <c r="K39" s="7"/>
      <c r="L39" s="7"/>
      <c r="M39" s="7"/>
      <c r="N39" s="7"/>
      <c r="O39" s="7"/>
      <c r="P39" s="7"/>
      <c r="Q39" s="7"/>
      <c r="R39" s="7"/>
      <c r="S39" s="7"/>
      <c r="T39" s="20"/>
      <c r="U39" s="9"/>
      <c r="V39" s="9"/>
      <c r="W39" s="9"/>
      <c r="X39" s="7"/>
    </row>
    <row r="40" spans="1:24" s="2" customFormat="1" x14ac:dyDescent="0.2">
      <c r="E40" s="1"/>
      <c r="F40" s="1"/>
      <c r="G40" s="1"/>
      <c r="H40" s="1"/>
      <c r="I40" s="1"/>
      <c r="J40" s="1"/>
      <c r="K40" s="1"/>
      <c r="L40" s="1"/>
      <c r="M40" s="1"/>
      <c r="N40" s="1"/>
      <c r="O40" s="1"/>
      <c r="P40" s="1"/>
      <c r="Q40" s="1"/>
      <c r="R40" s="1"/>
      <c r="S40" s="1"/>
      <c r="T40" s="9"/>
      <c r="U40" s="9"/>
      <c r="V40" s="9"/>
      <c r="W40" s="9"/>
      <c r="X40" s="7"/>
    </row>
    <row r="41" spans="1:24" s="2" customFormat="1" x14ac:dyDescent="0.2">
      <c r="B41" s="6"/>
      <c r="G41" s="1"/>
      <c r="H41" s="1"/>
      <c r="I41" s="1"/>
      <c r="J41" s="1"/>
      <c r="K41" s="1"/>
      <c r="L41" s="1"/>
      <c r="M41" s="1"/>
      <c r="N41" s="1"/>
      <c r="O41" s="1"/>
      <c r="P41" s="1"/>
      <c r="Q41" s="1"/>
      <c r="R41" s="1"/>
      <c r="S41" s="1"/>
      <c r="T41" s="9"/>
      <c r="U41" s="9"/>
      <c r="V41" s="9"/>
      <c r="W41" s="9"/>
      <c r="X41" s="7"/>
    </row>
    <row r="42" spans="1:24" s="2" customFormat="1" x14ac:dyDescent="0.2">
      <c r="B42" s="6"/>
      <c r="G42" s="1"/>
      <c r="H42" s="1"/>
      <c r="I42" s="1"/>
      <c r="J42" s="1"/>
      <c r="K42" s="1"/>
      <c r="L42" s="1"/>
      <c r="M42" s="1"/>
      <c r="N42" s="1"/>
      <c r="O42" s="1"/>
      <c r="P42" s="1"/>
      <c r="Q42" s="1"/>
      <c r="R42" s="1"/>
      <c r="S42" s="1"/>
    </row>
    <row r="43" spans="1:24" s="2" customFormat="1" x14ac:dyDescent="0.2">
      <c r="B43" s="6"/>
      <c r="G43" s="1"/>
      <c r="H43" s="1"/>
      <c r="I43" s="1"/>
      <c r="J43" s="1"/>
      <c r="K43" s="1"/>
      <c r="L43" s="1"/>
      <c r="M43" s="1"/>
      <c r="N43" s="1"/>
      <c r="O43" s="1"/>
      <c r="P43" s="1"/>
      <c r="Q43" s="1"/>
      <c r="R43" s="1"/>
      <c r="S43" s="1"/>
    </row>
    <row r="44" spans="1:24" s="2" customFormat="1" x14ac:dyDescent="0.2">
      <c r="B44" s="6"/>
      <c r="G44" s="1"/>
      <c r="H44" s="1"/>
      <c r="I44" s="1"/>
      <c r="J44" s="1"/>
      <c r="K44" s="1"/>
      <c r="L44" s="1"/>
      <c r="M44" s="1"/>
      <c r="N44" s="1"/>
      <c r="O44" s="1"/>
      <c r="P44" s="1"/>
      <c r="Q44" s="1"/>
      <c r="R44" s="1"/>
      <c r="S44" s="1"/>
    </row>
    <row r="45" spans="1:24" s="2" customFormat="1" x14ac:dyDescent="0.2">
      <c r="B45" s="6"/>
      <c r="G45" s="1"/>
      <c r="H45" s="1"/>
      <c r="I45" s="1"/>
      <c r="J45" s="1"/>
      <c r="K45" s="1"/>
      <c r="L45" s="1"/>
      <c r="M45" s="1"/>
      <c r="N45" s="1"/>
      <c r="O45" s="1"/>
      <c r="P45" s="1"/>
      <c r="Q45" s="1"/>
      <c r="R45" s="1"/>
      <c r="S45" s="1"/>
      <c r="T45" s="3"/>
    </row>
    <row r="46" spans="1:24" s="2" customFormat="1" x14ac:dyDescent="0.2">
      <c r="B46" s="6"/>
      <c r="G46" s="1"/>
      <c r="H46" s="1"/>
      <c r="I46" s="1"/>
      <c r="J46" s="1"/>
      <c r="K46" s="1"/>
      <c r="L46" s="1"/>
      <c r="M46" s="1"/>
      <c r="N46" s="1"/>
      <c r="O46" s="1"/>
      <c r="P46" s="1"/>
      <c r="Q46" s="1"/>
      <c r="R46" s="1"/>
      <c r="S46" s="1"/>
      <c r="T46" s="4"/>
    </row>
    <row r="47" spans="1:24" s="2" customFormat="1" x14ac:dyDescent="0.2">
      <c r="B47" s="6"/>
      <c r="G47" s="1"/>
      <c r="H47" s="1"/>
      <c r="I47" s="1"/>
      <c r="J47" s="1"/>
      <c r="K47" s="1"/>
      <c r="L47" s="1"/>
      <c r="M47" s="1"/>
      <c r="N47" s="1"/>
      <c r="O47" s="1"/>
      <c r="P47" s="1"/>
      <c r="Q47" s="1"/>
      <c r="R47" s="1"/>
      <c r="S47" s="1"/>
      <c r="T47" s="3"/>
    </row>
    <row r="48" spans="1:24" s="2" customFormat="1" x14ac:dyDescent="0.2">
      <c r="B48" s="6"/>
      <c r="D48" s="1"/>
      <c r="E48" s="1"/>
      <c r="F48" s="1"/>
      <c r="G48" s="1"/>
      <c r="H48" s="1"/>
      <c r="I48" s="1"/>
      <c r="J48" s="1"/>
      <c r="K48" s="1"/>
      <c r="L48" s="1"/>
      <c r="M48" s="1"/>
      <c r="N48" s="1"/>
      <c r="O48" s="1"/>
      <c r="P48" s="1"/>
      <c r="Q48" s="1"/>
      <c r="R48" s="1"/>
      <c r="S48" s="1"/>
      <c r="T48" s="5"/>
    </row>
    <row r="49" spans="1:23" s="2" customFormat="1" x14ac:dyDescent="0.2">
      <c r="B49" s="6"/>
      <c r="D49" s="1"/>
      <c r="E49" s="1"/>
      <c r="F49" s="1"/>
      <c r="G49" s="1"/>
      <c r="H49" s="1"/>
      <c r="I49" s="1"/>
      <c r="J49" s="1"/>
      <c r="K49" s="1"/>
      <c r="L49" s="1"/>
      <c r="M49" s="1"/>
      <c r="N49" s="1"/>
      <c r="O49" s="1"/>
      <c r="P49" s="1"/>
      <c r="Q49" s="1"/>
      <c r="R49" s="1"/>
      <c r="S49" s="1"/>
      <c r="T49" s="3"/>
    </row>
    <row r="50" spans="1:23" s="2" customFormat="1" x14ac:dyDescent="0.2">
      <c r="B50" s="6"/>
      <c r="D50" s="1"/>
      <c r="E50" s="1"/>
      <c r="F50" s="1"/>
      <c r="G50" s="1"/>
      <c r="H50" s="1"/>
      <c r="I50" s="1"/>
      <c r="J50" s="1"/>
      <c r="K50" s="1"/>
      <c r="L50" s="1"/>
      <c r="M50" s="1"/>
      <c r="N50" s="1"/>
      <c r="O50" s="1"/>
      <c r="P50" s="1"/>
      <c r="Q50" s="1"/>
      <c r="R50" s="1"/>
      <c r="S50" s="1"/>
      <c r="T50" s="3"/>
    </row>
    <row r="51" spans="1:23" s="2" customFormat="1" x14ac:dyDescent="0.2">
      <c r="B51" s="6"/>
      <c r="C51" s="1"/>
      <c r="D51" s="1"/>
      <c r="E51" s="1"/>
      <c r="F51" s="1"/>
      <c r="G51" s="1"/>
      <c r="H51" s="1"/>
      <c r="I51" s="1"/>
      <c r="J51" s="1"/>
      <c r="K51" s="1"/>
      <c r="L51" s="1"/>
      <c r="M51" s="1"/>
      <c r="N51" s="1"/>
      <c r="O51" s="1"/>
      <c r="P51" s="1"/>
      <c r="Q51" s="1"/>
      <c r="R51" s="1"/>
      <c r="S51" s="1"/>
      <c r="T51" s="3"/>
    </row>
    <row r="52" spans="1:23" s="2" customFormat="1" x14ac:dyDescent="0.2">
      <c r="B52" s="6"/>
      <c r="C52" s="1"/>
      <c r="D52" s="1"/>
      <c r="E52" s="1"/>
      <c r="F52" s="1"/>
      <c r="G52" s="1"/>
      <c r="H52" s="1"/>
      <c r="I52" s="1"/>
      <c r="J52" s="1"/>
      <c r="K52" s="1"/>
      <c r="L52" s="1"/>
      <c r="M52" s="1"/>
      <c r="N52" s="1"/>
      <c r="O52" s="1"/>
      <c r="P52" s="1"/>
      <c r="Q52" s="1"/>
      <c r="R52" s="1"/>
      <c r="S52" s="1"/>
      <c r="T52" s="4"/>
    </row>
    <row r="53" spans="1:23" s="2" customFormat="1" x14ac:dyDescent="0.2">
      <c r="A53" s="1"/>
      <c r="B53" s="6"/>
      <c r="C53" s="1"/>
      <c r="D53" s="1"/>
      <c r="E53" s="1"/>
      <c r="F53" s="1"/>
      <c r="G53" s="1"/>
      <c r="H53" s="1"/>
      <c r="I53" s="1"/>
      <c r="J53" s="1"/>
      <c r="K53" s="1"/>
      <c r="L53" s="1"/>
      <c r="M53" s="1"/>
      <c r="N53" s="1"/>
      <c r="O53" s="1"/>
      <c r="P53" s="1"/>
      <c r="Q53" s="1"/>
      <c r="R53" s="1"/>
      <c r="S53" s="1"/>
      <c r="T53" s="4"/>
    </row>
    <row r="54" spans="1:23" s="2" customFormat="1" x14ac:dyDescent="0.2">
      <c r="A54" s="1"/>
      <c r="B54" s="6"/>
      <c r="C54" s="1"/>
      <c r="D54" s="1"/>
      <c r="E54" s="1"/>
      <c r="F54" s="1"/>
      <c r="G54" s="1"/>
      <c r="H54" s="1"/>
      <c r="I54" s="1"/>
      <c r="J54" s="1"/>
      <c r="K54" s="1"/>
      <c r="L54" s="1"/>
      <c r="M54" s="1"/>
      <c r="N54" s="1"/>
      <c r="O54" s="1"/>
      <c r="P54" s="1"/>
      <c r="Q54" s="1"/>
      <c r="R54" s="1"/>
      <c r="S54" s="1"/>
      <c r="T54" s="4"/>
    </row>
    <row r="55" spans="1:23" s="2" customFormat="1" x14ac:dyDescent="0.2">
      <c r="A55" s="1"/>
      <c r="B55" s="6"/>
      <c r="C55" s="1"/>
      <c r="D55" s="1"/>
      <c r="E55" s="1"/>
      <c r="F55" s="1"/>
      <c r="G55" s="1"/>
      <c r="H55" s="1"/>
      <c r="I55" s="1"/>
      <c r="J55" s="1"/>
      <c r="K55" s="1"/>
      <c r="L55" s="1"/>
      <c r="M55" s="1"/>
      <c r="N55" s="1"/>
      <c r="O55" s="1"/>
      <c r="P55" s="1"/>
      <c r="Q55" s="1"/>
      <c r="R55" s="1"/>
      <c r="S55" s="1"/>
      <c r="T55" s="4"/>
    </row>
    <row r="56" spans="1:23" s="2" customFormat="1" x14ac:dyDescent="0.2">
      <c r="A56" s="1"/>
      <c r="B56" s="6"/>
      <c r="C56" s="1"/>
      <c r="D56" s="1"/>
      <c r="E56" s="1"/>
      <c r="F56" s="1"/>
      <c r="G56" s="1"/>
      <c r="H56" s="1"/>
      <c r="I56" s="1"/>
      <c r="J56" s="1"/>
      <c r="K56" s="1"/>
      <c r="L56" s="1"/>
      <c r="M56" s="1"/>
      <c r="N56" s="1"/>
      <c r="O56" s="1"/>
      <c r="P56" s="1"/>
      <c r="Q56" s="1"/>
      <c r="R56" s="1"/>
      <c r="S56" s="1"/>
      <c r="T56" s="3"/>
    </row>
    <row r="57" spans="1:23" s="2" customFormat="1" x14ac:dyDescent="0.2">
      <c r="A57" s="1"/>
      <c r="B57" s="6"/>
      <c r="C57" s="1"/>
      <c r="D57" s="1"/>
      <c r="E57" s="1"/>
      <c r="F57" s="1"/>
      <c r="G57" s="1"/>
      <c r="H57" s="1"/>
      <c r="I57" s="1"/>
      <c r="J57" s="1"/>
      <c r="K57" s="1"/>
      <c r="L57" s="1"/>
      <c r="M57" s="1"/>
      <c r="N57" s="1"/>
      <c r="O57" s="1"/>
      <c r="P57" s="1"/>
      <c r="Q57" s="1"/>
      <c r="R57" s="1"/>
      <c r="S57" s="1"/>
    </row>
    <row r="58" spans="1:23" s="2" customFormat="1" x14ac:dyDescent="0.2">
      <c r="A58" s="1"/>
      <c r="B58" s="6"/>
      <c r="C58" s="1"/>
      <c r="D58" s="1"/>
      <c r="E58" s="1"/>
      <c r="F58" s="1"/>
      <c r="G58" s="1"/>
      <c r="H58" s="1"/>
      <c r="I58" s="1"/>
      <c r="J58" s="1"/>
      <c r="K58" s="1"/>
      <c r="L58" s="1"/>
      <c r="M58" s="1"/>
      <c r="N58" s="1"/>
      <c r="O58" s="1"/>
      <c r="P58" s="1"/>
      <c r="Q58" s="1"/>
      <c r="R58" s="1"/>
      <c r="S58" s="1"/>
    </row>
    <row r="59" spans="1:23" s="2" customFormat="1" x14ac:dyDescent="0.2">
      <c r="A59" s="1"/>
      <c r="B59" s="6"/>
      <c r="C59" s="1"/>
      <c r="D59" s="1"/>
      <c r="E59" s="1"/>
      <c r="F59" s="1"/>
      <c r="G59" s="1"/>
      <c r="H59" s="1"/>
      <c r="I59" s="1"/>
      <c r="J59" s="1"/>
      <c r="K59" s="1"/>
      <c r="L59" s="1"/>
      <c r="M59" s="1"/>
      <c r="N59" s="1"/>
      <c r="O59" s="1"/>
      <c r="P59" s="1"/>
      <c r="Q59" s="1"/>
      <c r="R59" s="1"/>
      <c r="S59" s="1"/>
    </row>
    <row r="60" spans="1:23" s="2" customFormat="1" x14ac:dyDescent="0.2">
      <c r="A60" s="1"/>
      <c r="B60" s="6"/>
      <c r="C60" s="1"/>
      <c r="D60" s="1"/>
      <c r="E60" s="1"/>
      <c r="F60" s="1"/>
      <c r="G60" s="1"/>
      <c r="H60" s="1"/>
      <c r="I60" s="1"/>
      <c r="J60" s="1"/>
      <c r="K60" s="1"/>
      <c r="L60" s="1"/>
      <c r="M60" s="1"/>
      <c r="N60" s="1"/>
      <c r="O60" s="1"/>
      <c r="P60" s="1"/>
      <c r="Q60" s="1"/>
      <c r="R60" s="1"/>
      <c r="S60" s="1"/>
    </row>
    <row r="61" spans="1:23" x14ac:dyDescent="0.2">
      <c r="V61" s="2"/>
      <c r="W61" s="2"/>
    </row>
    <row r="62" spans="1:23" x14ac:dyDescent="0.2">
      <c r="V62" s="2"/>
      <c r="W62" s="2"/>
    </row>
    <row r="63" spans="1:23" x14ac:dyDescent="0.2">
      <c r="V63" s="2"/>
      <c r="W63" s="2"/>
    </row>
    <row r="64" spans="1:23" x14ac:dyDescent="0.2">
      <c r="V64" s="2"/>
      <c r="W64" s="2"/>
    </row>
    <row r="65" spans="22:23" x14ac:dyDescent="0.2">
      <c r="V65" s="2"/>
      <c r="W65" s="2"/>
    </row>
    <row r="66" spans="22:23" x14ac:dyDescent="0.2">
      <c r="V66" s="2"/>
      <c r="W66" s="2"/>
    </row>
    <row r="67" spans="22:23" x14ac:dyDescent="0.2">
      <c r="V67" s="2"/>
      <c r="W67" s="2"/>
    </row>
    <row r="68" spans="22:23" x14ac:dyDescent="0.2">
      <c r="V68" s="2"/>
      <c r="W68" s="2"/>
    </row>
    <row r="69" spans="22:23" x14ac:dyDescent="0.2">
      <c r="V69" s="2"/>
      <c r="W69" s="2"/>
    </row>
    <row r="70" spans="22:23" x14ac:dyDescent="0.2">
      <c r="V70" s="2"/>
      <c r="W70" s="2"/>
    </row>
    <row r="71" spans="22:23" x14ac:dyDescent="0.2">
      <c r="V71" s="2"/>
      <c r="W71" s="2"/>
    </row>
  </sheetData>
  <sheetProtection algorithmName="SHA-512" hashValue="1ECOdKt//IsF6VdiIDaqNHoWuY+1eYHi4fHLlO6U4CaK7QVROQIHYQsLtNdG3OA3uXIbWJsVeh5Tmy+ywnrifg==" saltValue="E0ge4j52TSxpAFOQ0yOeXQ==" spinCount="100000" sheet="1" objects="1" scenarios="1"/>
  <mergeCells count="13">
    <mergeCell ref="B1:C1"/>
    <mergeCell ref="F1:H1"/>
    <mergeCell ref="F2:G2"/>
    <mergeCell ref="K2:L2"/>
    <mergeCell ref="F3:G3"/>
    <mergeCell ref="K3:L3"/>
    <mergeCell ref="X28:X32"/>
    <mergeCell ref="F4:G4"/>
    <mergeCell ref="F5:G5"/>
    <mergeCell ref="F6:G6"/>
    <mergeCell ref="B8:S8"/>
    <mergeCell ref="X12:X27"/>
    <mergeCell ref="V11:X11"/>
  </mergeCells>
  <conditionalFormatting sqref="T49 T46">
    <cfRule type="cellIs" dxfId="5" priority="7" stopIfTrue="1" operator="greaterThan">
      <formula>10</formula>
    </cfRule>
  </conditionalFormatting>
  <conditionalFormatting sqref="T52:T56 C28:O28">
    <cfRule type="cellIs" dxfId="4" priority="8" stopIfTrue="1" operator="greaterThan">
      <formula>0.1</formula>
    </cfRule>
  </conditionalFormatting>
  <pageMargins left="0.7" right="0.7" top="0.75" bottom="0.75" header="0.3" footer="0.3"/>
  <pageSetup paperSize="9"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7"/>
  <sheetViews>
    <sheetView workbookViewId="0">
      <selection activeCell="G10" sqref="G10"/>
    </sheetView>
  </sheetViews>
  <sheetFormatPr defaultRowHeight="12.75" x14ac:dyDescent="0.2"/>
  <cols>
    <col min="1" max="1" width="24.5703125" style="64" customWidth="1"/>
    <col min="2" max="2" width="30.5703125" customWidth="1"/>
    <col min="5" max="5" width="18.28515625" customWidth="1"/>
    <col min="6" max="6" width="22.28515625" customWidth="1"/>
    <col min="7" max="7" width="10.28515625" customWidth="1"/>
    <col min="8" max="8" width="13.28515625" customWidth="1"/>
    <col min="9" max="9" width="17.42578125" customWidth="1"/>
    <col min="10" max="10" width="10.42578125" customWidth="1"/>
  </cols>
  <sheetData>
    <row r="1" spans="1:12" x14ac:dyDescent="0.2">
      <c r="A1" s="63"/>
      <c r="B1" s="161" t="s">
        <v>94</v>
      </c>
      <c r="C1" s="161"/>
      <c r="D1" s="161"/>
      <c r="E1" s="161"/>
      <c r="F1" s="161"/>
      <c r="G1" s="161"/>
      <c r="H1" s="161"/>
      <c r="I1" s="161"/>
      <c r="J1" s="161"/>
      <c r="K1" s="20"/>
      <c r="L1" s="20"/>
    </row>
    <row r="2" spans="1:12" x14ac:dyDescent="0.2">
      <c r="A2" s="63"/>
      <c r="B2" s="161"/>
      <c r="C2" s="161"/>
      <c r="D2" s="161"/>
      <c r="E2" s="161"/>
      <c r="F2" s="161"/>
      <c r="G2" s="161"/>
      <c r="H2" s="161"/>
      <c r="I2" s="161"/>
      <c r="J2" s="161"/>
      <c r="K2" s="20"/>
      <c r="L2" s="20"/>
    </row>
    <row r="3" spans="1:12" x14ac:dyDescent="0.2">
      <c r="A3" s="63"/>
      <c r="B3" s="9"/>
      <c r="C3" s="9"/>
      <c r="D3" s="9"/>
      <c r="E3" s="9"/>
      <c r="F3" s="9"/>
      <c r="G3" s="9"/>
      <c r="H3" s="9"/>
      <c r="I3" s="9"/>
      <c r="J3" s="9"/>
      <c r="K3" s="20"/>
      <c r="L3" s="20"/>
    </row>
    <row r="4" spans="1:12" ht="18.75" x14ac:dyDescent="0.3">
      <c r="A4" s="63"/>
      <c r="B4" s="11" t="s">
        <v>95</v>
      </c>
      <c r="C4" s="60"/>
      <c r="D4" s="9"/>
      <c r="E4" s="9"/>
      <c r="F4" s="162" t="s">
        <v>96</v>
      </c>
      <c r="G4" s="162"/>
      <c r="H4" s="162"/>
      <c r="I4" s="162"/>
      <c r="J4" s="162"/>
      <c r="K4" s="20"/>
      <c r="L4" s="20"/>
    </row>
    <row r="5" spans="1:12" x14ac:dyDescent="0.2">
      <c r="A5" s="63"/>
      <c r="B5" s="66" t="s">
        <v>32</v>
      </c>
      <c r="C5" s="103">
        <v>0</v>
      </c>
      <c r="D5" s="9"/>
      <c r="E5" s="9"/>
      <c r="F5" s="70"/>
      <c r="G5" s="71" t="s">
        <v>97</v>
      </c>
      <c r="H5" s="71" t="s">
        <v>98</v>
      </c>
      <c r="I5" s="71" t="s">
        <v>99</v>
      </c>
      <c r="J5" s="71" t="s">
        <v>100</v>
      </c>
      <c r="K5" s="20"/>
      <c r="L5" s="20"/>
    </row>
    <row r="6" spans="1:12" x14ac:dyDescent="0.2">
      <c r="A6" s="63"/>
      <c r="B6" s="31" t="s">
        <v>101</v>
      </c>
      <c r="C6" s="32">
        <v>15.1</v>
      </c>
      <c r="D6" s="9"/>
      <c r="E6" s="9"/>
      <c r="F6" s="66" t="s">
        <v>32</v>
      </c>
      <c r="G6" s="103">
        <v>0</v>
      </c>
      <c r="H6" s="103">
        <v>150</v>
      </c>
      <c r="I6" s="103">
        <v>150</v>
      </c>
      <c r="J6" s="103">
        <v>150</v>
      </c>
      <c r="K6" s="20"/>
      <c r="L6" s="20"/>
    </row>
    <row r="7" spans="1:12" ht="15.75" x14ac:dyDescent="0.25">
      <c r="A7" s="63"/>
      <c r="B7" s="31" t="s">
        <v>102</v>
      </c>
      <c r="C7" s="32">
        <v>0.01</v>
      </c>
      <c r="D7" s="9"/>
      <c r="E7" s="9"/>
      <c r="F7" s="74" t="s">
        <v>103</v>
      </c>
      <c r="G7" s="74">
        <v>0.01</v>
      </c>
      <c r="H7" s="74">
        <v>0.02</v>
      </c>
      <c r="I7" s="74">
        <v>0.01</v>
      </c>
      <c r="J7" s="74">
        <v>0.01</v>
      </c>
      <c r="K7" s="20"/>
      <c r="L7" s="20"/>
    </row>
    <row r="8" spans="1:12" ht="14.25" x14ac:dyDescent="0.25">
      <c r="A8" s="63"/>
      <c r="B8" s="31" t="s">
        <v>104</v>
      </c>
      <c r="C8" s="32">
        <v>365</v>
      </c>
      <c r="D8" s="9"/>
      <c r="E8" s="9"/>
      <c r="F8" s="74" t="s">
        <v>105</v>
      </c>
      <c r="G8" s="74">
        <v>865</v>
      </c>
      <c r="H8" s="74">
        <v>1400</v>
      </c>
      <c r="I8" s="74">
        <v>400</v>
      </c>
      <c r="J8" s="74">
        <v>720</v>
      </c>
      <c r="K8" s="20"/>
      <c r="L8" s="20"/>
    </row>
    <row r="9" spans="1:12" ht="15.75" x14ac:dyDescent="0.25">
      <c r="A9" s="63"/>
      <c r="B9" s="31" t="s">
        <v>106</v>
      </c>
      <c r="C9" s="32">
        <v>2500</v>
      </c>
      <c r="D9" s="9"/>
      <c r="E9" s="62" t="s">
        <v>39</v>
      </c>
      <c r="F9" s="74" t="s">
        <v>107</v>
      </c>
      <c r="G9" s="74">
        <v>10</v>
      </c>
      <c r="H9" s="74">
        <v>10</v>
      </c>
      <c r="I9" s="74">
        <v>10</v>
      </c>
      <c r="J9" s="74">
        <v>10</v>
      </c>
      <c r="K9" s="20"/>
      <c r="L9" s="20"/>
    </row>
    <row r="10" spans="1:12" ht="29.25" customHeight="1" x14ac:dyDescent="0.25">
      <c r="A10" s="63"/>
      <c r="B10" s="31" t="s">
        <v>108</v>
      </c>
      <c r="C10" s="32">
        <v>0.05</v>
      </c>
      <c r="D10" s="9"/>
      <c r="E10" s="69" t="s">
        <v>109</v>
      </c>
      <c r="F10" s="72" t="s">
        <v>110</v>
      </c>
      <c r="G10" s="73">
        <f>G6*G7/(G8*$G$9)*1000</f>
        <v>0</v>
      </c>
      <c r="H10" s="73">
        <f>H6*H7/(H8*$H$9)*1000</f>
        <v>0.21428571428571427</v>
      </c>
      <c r="I10" s="73">
        <f>I6*I7/(I8*$I$9)*1000</f>
        <v>0.375</v>
      </c>
      <c r="J10" s="73">
        <f>J6*J7/(J8*$J$9)*1000</f>
        <v>0.20833333333333334</v>
      </c>
      <c r="K10" s="20"/>
      <c r="L10" s="20"/>
    </row>
    <row r="11" spans="1:12" ht="15.75" x14ac:dyDescent="0.25">
      <c r="A11" s="63"/>
      <c r="B11" s="31" t="s">
        <v>111</v>
      </c>
      <c r="C11" s="32">
        <v>0.2</v>
      </c>
      <c r="D11" s="9"/>
      <c r="E11" s="9"/>
      <c r="F11" s="9"/>
      <c r="G11" s="9"/>
      <c r="H11" s="9"/>
      <c r="I11" s="9"/>
      <c r="J11" s="9"/>
      <c r="K11" s="20"/>
      <c r="L11" s="20"/>
    </row>
    <row r="12" spans="1:12" ht="15.75" x14ac:dyDescent="0.25">
      <c r="A12" s="61" t="s">
        <v>39</v>
      </c>
      <c r="B12" s="31" t="s">
        <v>112</v>
      </c>
      <c r="C12" s="32">
        <f>C5*C6</f>
        <v>0</v>
      </c>
      <c r="D12" s="9"/>
      <c r="E12" s="9"/>
      <c r="F12" s="9"/>
      <c r="G12" s="9"/>
      <c r="H12" s="9"/>
      <c r="I12" s="9"/>
      <c r="J12" s="9"/>
      <c r="K12" s="20"/>
      <c r="L12" s="20"/>
    </row>
    <row r="13" spans="1:12" ht="27.75" customHeight="1" x14ac:dyDescent="0.2">
      <c r="A13" s="65" t="s">
        <v>113</v>
      </c>
      <c r="B13" s="67" t="s">
        <v>114</v>
      </c>
      <c r="C13" s="68">
        <f>C12*C7*C8/(C9*C11*C10)*1000</f>
        <v>0</v>
      </c>
      <c r="D13" s="9"/>
      <c r="E13" s="9"/>
      <c r="F13" s="9"/>
      <c r="G13" s="9"/>
      <c r="H13" s="9"/>
      <c r="I13" s="9"/>
      <c r="J13" s="9"/>
      <c r="K13" s="20"/>
      <c r="L13" s="20"/>
    </row>
    <row r="14" spans="1:12" x14ac:dyDescent="0.2">
      <c r="A14" s="63"/>
      <c r="B14" s="20"/>
      <c r="C14" s="20"/>
      <c r="D14" s="9"/>
      <c r="E14" s="9"/>
      <c r="F14" s="9"/>
      <c r="G14" s="9"/>
      <c r="H14" s="9"/>
      <c r="I14" s="9"/>
      <c r="J14" s="9"/>
      <c r="K14" s="20"/>
      <c r="L14" s="20"/>
    </row>
    <row r="15" spans="1:12" x14ac:dyDescent="0.2">
      <c r="A15" s="63"/>
      <c r="B15" s="20"/>
      <c r="C15" s="20"/>
      <c r="D15" s="20"/>
      <c r="E15" s="20"/>
      <c r="F15" s="20"/>
      <c r="G15" s="20"/>
      <c r="H15" s="20"/>
      <c r="I15" s="20"/>
      <c r="J15" s="20"/>
      <c r="K15" s="20"/>
      <c r="L15" s="20"/>
    </row>
    <row r="16" spans="1:12" x14ac:dyDescent="0.2">
      <c r="A16" s="63"/>
      <c r="B16" s="20"/>
      <c r="C16" s="20"/>
      <c r="D16" s="20"/>
      <c r="E16" s="20"/>
      <c r="F16" s="20"/>
      <c r="G16" s="20"/>
      <c r="H16" s="20"/>
      <c r="I16" s="20"/>
      <c r="J16" s="20"/>
      <c r="K16" s="20"/>
      <c r="L16" s="20"/>
    </row>
    <row r="17" spans="1:12" x14ac:dyDescent="0.2">
      <c r="A17" s="63"/>
      <c r="B17" s="20"/>
      <c r="C17" s="20"/>
      <c r="D17" s="20"/>
      <c r="E17" s="20"/>
      <c r="F17" s="20"/>
      <c r="G17" s="20"/>
      <c r="H17" s="20"/>
      <c r="I17" s="20"/>
      <c r="J17" s="20"/>
      <c r="K17" s="20"/>
      <c r="L17" s="20"/>
    </row>
  </sheetData>
  <sheetProtection algorithmName="SHA-512" hashValue="axlaMy54NCVpQlf+IzXIP2pDLg3a2zPe63ETjxXptTyJjIZAdte99WIKE0VgV/SmzQMTqx0h/LcKqZGeYf7AqQ==" saltValue="Ygmb3+Lbvq9AU3vmk+znig==" spinCount="100000" sheet="1" objects="1" scenarios="1"/>
  <mergeCells count="2">
    <mergeCell ref="B1:J2"/>
    <mergeCell ref="F4:J4"/>
  </mergeCells>
  <conditionalFormatting sqref="C13">
    <cfRule type="cellIs" dxfId="3" priority="1" operator="lessThan">
      <formula>10</formula>
    </cfRule>
    <cfRule type="cellIs" dxfId="2" priority="2" operator="greaterThanOrEqual">
      <formula>10</formula>
    </cfRule>
  </conditionalFormatting>
  <conditionalFormatting sqref="G10:J10">
    <cfRule type="cellIs" dxfId="1" priority="3" operator="lessThan">
      <formula>0.1</formula>
    </cfRule>
    <cfRule type="cellIs" dxfId="0" priority="4" operator="greaterThanOrEqual">
      <formula>0.1</formula>
    </cfRule>
  </conditionalFormatting>
  <pageMargins left="0.7" right="0.7" top="0.75" bottom="0.75" header="0.3" footer="0.3"/>
  <pageSetup paperSize="9" scale="8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9"/>
  <sheetViews>
    <sheetView tabSelected="1" zoomScale="110" zoomScaleNormal="110" workbookViewId="0">
      <selection activeCell="D8" sqref="D8"/>
    </sheetView>
  </sheetViews>
  <sheetFormatPr defaultColWidth="8.7109375" defaultRowHeight="16.5" x14ac:dyDescent="0.3"/>
  <cols>
    <col min="1" max="1" width="26" style="104" customWidth="1"/>
    <col min="2" max="2" width="34" style="104" customWidth="1"/>
    <col min="3" max="3" width="11" style="104" bestFit="1" customWidth="1"/>
    <col min="4" max="4" width="25.140625" style="104" customWidth="1"/>
    <col min="5" max="6" width="6.85546875" style="104" customWidth="1"/>
    <col min="7" max="7" width="7.140625" style="104" customWidth="1"/>
    <col min="8" max="8" width="39.5703125" style="104" customWidth="1"/>
    <col min="9" max="9" width="13.140625" style="104" customWidth="1"/>
    <col min="10" max="10" width="9.7109375" style="104" customWidth="1"/>
    <col min="11" max="16384" width="8.7109375" style="104"/>
  </cols>
  <sheetData>
    <row r="1" spans="1:15" x14ac:dyDescent="0.3">
      <c r="B1" s="77" t="s">
        <v>1</v>
      </c>
      <c r="C1" s="77"/>
      <c r="D1" s="121" t="s">
        <v>115</v>
      </c>
    </row>
    <row r="2" spans="1:15" x14ac:dyDescent="0.3">
      <c r="B2" s="38" t="s">
        <v>116</v>
      </c>
      <c r="C2" s="135">
        <v>4.4800000000000004</v>
      </c>
      <c r="H2" s="138" t="s">
        <v>117</v>
      </c>
      <c r="I2" s="139"/>
      <c r="J2" s="139"/>
    </row>
    <row r="3" spans="1:15" x14ac:dyDescent="0.3">
      <c r="B3" s="38" t="s">
        <v>118</v>
      </c>
      <c r="C3" s="135">
        <v>0.4</v>
      </c>
      <c r="D3" s="105"/>
      <c r="H3" s="140" t="s">
        <v>180</v>
      </c>
      <c r="I3" s="141" t="s">
        <v>181</v>
      </c>
      <c r="J3" s="139"/>
    </row>
    <row r="4" spans="1:15" x14ac:dyDescent="0.3">
      <c r="B4" s="38" t="s">
        <v>119</v>
      </c>
      <c r="C4" s="136">
        <f>VLOOKUP(D4,H20:I27,2,FALSE)</f>
        <v>20</v>
      </c>
      <c r="D4" s="127" t="s">
        <v>120</v>
      </c>
      <c r="E4" s="106"/>
      <c r="F4" s="106"/>
      <c r="H4" s="142" t="s">
        <v>182</v>
      </c>
      <c r="I4" s="142">
        <v>3000</v>
      </c>
      <c r="J4" s="139"/>
    </row>
    <row r="5" spans="1:15" x14ac:dyDescent="0.3">
      <c r="B5" s="38" t="s">
        <v>121</v>
      </c>
      <c r="C5" s="136">
        <f>VLOOKUP(D5,H4:I8,2,FALSE)</f>
        <v>30</v>
      </c>
      <c r="D5" s="127" t="s">
        <v>122</v>
      </c>
      <c r="E5" s="106"/>
      <c r="F5" s="106"/>
      <c r="H5" s="142" t="s">
        <v>183</v>
      </c>
      <c r="I5" s="142">
        <v>30</v>
      </c>
      <c r="J5" s="139"/>
    </row>
    <row r="6" spans="1:15" x14ac:dyDescent="0.3">
      <c r="B6" s="38" t="s">
        <v>80</v>
      </c>
      <c r="C6" s="135">
        <v>40</v>
      </c>
      <c r="H6" s="142" t="s">
        <v>184</v>
      </c>
      <c r="I6" s="142">
        <v>300</v>
      </c>
      <c r="J6" s="139"/>
    </row>
    <row r="7" spans="1:15" x14ac:dyDescent="0.3">
      <c r="B7" s="38" t="s">
        <v>123</v>
      </c>
      <c r="C7" s="135">
        <v>0.1</v>
      </c>
      <c r="E7" s="106"/>
      <c r="F7" s="106"/>
      <c r="H7" s="142" t="s">
        <v>185</v>
      </c>
      <c r="I7" s="142">
        <v>90</v>
      </c>
      <c r="J7" s="139"/>
    </row>
    <row r="8" spans="1:15" x14ac:dyDescent="0.3">
      <c r="B8" s="38" t="s">
        <v>124</v>
      </c>
      <c r="C8" s="135">
        <v>775</v>
      </c>
      <c r="E8" s="106"/>
      <c r="F8" s="106"/>
      <c r="H8" s="142" t="s">
        <v>186</v>
      </c>
      <c r="I8" s="142">
        <v>30</v>
      </c>
      <c r="J8" s="139"/>
    </row>
    <row r="9" spans="1:15" ht="26.25" x14ac:dyDescent="0.4">
      <c r="A9" s="166" t="s">
        <v>125</v>
      </c>
      <c r="B9" s="166"/>
      <c r="C9" s="166"/>
      <c r="D9" s="166"/>
      <c r="E9" s="106"/>
      <c r="F9" s="106"/>
      <c r="G9" s="107"/>
      <c r="H9" s="139"/>
      <c r="I9" s="139"/>
      <c r="J9" s="139"/>
      <c r="K9" s="107"/>
      <c r="L9" s="107"/>
      <c r="M9" s="107"/>
      <c r="N9" s="107"/>
      <c r="O9" s="107"/>
    </row>
    <row r="10" spans="1:15" x14ac:dyDescent="0.3">
      <c r="A10" s="125" t="s">
        <v>126</v>
      </c>
      <c r="B10" s="129" t="s">
        <v>127</v>
      </c>
      <c r="C10" s="108">
        <f>NOAEL*CV</f>
        <v>8</v>
      </c>
      <c r="E10" s="106"/>
      <c r="F10" s="106"/>
      <c r="H10" s="139"/>
      <c r="I10" s="139"/>
      <c r="J10" s="139"/>
    </row>
    <row r="11" spans="1:15" x14ac:dyDescent="0.3">
      <c r="A11" s="111"/>
      <c r="B11" s="130" t="s">
        <v>128</v>
      </c>
      <c r="C11" s="126">
        <f>NOEC/AF*1000</f>
        <v>266.66666666666669</v>
      </c>
      <c r="E11" s="106"/>
      <c r="F11" s="106"/>
      <c r="H11" s="138" t="s">
        <v>129</v>
      </c>
      <c r="I11" s="139"/>
      <c r="J11" s="139"/>
    </row>
    <row r="12" spans="1:15" ht="17.25" thickBot="1" x14ac:dyDescent="0.35">
      <c r="A12" s="111"/>
      <c r="B12" s="130" t="s">
        <v>130</v>
      </c>
      <c r="C12" s="109">
        <f>POWER(10,LogKow)</f>
        <v>30199.517204020212</v>
      </c>
      <c r="E12" s="106"/>
      <c r="F12" s="106"/>
      <c r="H12" s="140" t="s">
        <v>131</v>
      </c>
      <c r="I12" s="141" t="s">
        <v>132</v>
      </c>
      <c r="J12" s="139"/>
    </row>
    <row r="13" spans="1:15" x14ac:dyDescent="0.3">
      <c r="A13" s="163" t="s">
        <v>133</v>
      </c>
      <c r="B13" s="131" t="s">
        <v>134</v>
      </c>
      <c r="C13" s="110">
        <f>VLOOKUP(D13,H13:I15,2,FALSE)</f>
        <v>1</v>
      </c>
      <c r="D13" s="127" t="s">
        <v>136</v>
      </c>
      <c r="E13" s="106"/>
      <c r="F13" s="106"/>
      <c r="G13" s="106"/>
      <c r="H13" s="142" t="s">
        <v>136</v>
      </c>
      <c r="I13" s="142">
        <v>1</v>
      </c>
      <c r="J13" s="139"/>
    </row>
    <row r="14" spans="1:15" x14ac:dyDescent="0.3">
      <c r="A14" s="164"/>
      <c r="B14" s="131" t="s">
        <v>137</v>
      </c>
      <c r="C14" s="111">
        <f>0.85*LogKow-0.7</f>
        <v>3.1080000000000005</v>
      </c>
      <c r="D14" s="106"/>
      <c r="E14" s="106"/>
      <c r="F14" s="106"/>
      <c r="G14" s="106"/>
      <c r="H14" s="142" t="s">
        <v>138</v>
      </c>
      <c r="I14" s="142">
        <v>2</v>
      </c>
      <c r="J14" s="139"/>
    </row>
    <row r="15" spans="1:15" x14ac:dyDescent="0.3">
      <c r="A15" s="164"/>
      <c r="B15" s="131" t="s">
        <v>177</v>
      </c>
      <c r="C15" s="112">
        <f>POWER(10,logBCFfish)</f>
        <v>1282.3305826560238</v>
      </c>
      <c r="D15" s="113"/>
      <c r="E15" s="113"/>
      <c r="F15" s="113"/>
      <c r="G15" s="106"/>
      <c r="H15" s="142" t="s">
        <v>135</v>
      </c>
      <c r="I15" s="142">
        <v>10</v>
      </c>
      <c r="J15" s="139"/>
    </row>
    <row r="16" spans="1:15" x14ac:dyDescent="0.3">
      <c r="A16" s="164"/>
      <c r="B16" s="131" t="s">
        <v>139</v>
      </c>
      <c r="C16" s="112">
        <f>PECsw*BCFfish*BMF</f>
        <v>51293.22330624095</v>
      </c>
      <c r="D16" s="106"/>
      <c r="E16" s="106"/>
      <c r="F16" s="106"/>
      <c r="G16" s="106"/>
      <c r="H16" s="142"/>
      <c r="I16" s="142"/>
      <c r="J16" s="142"/>
    </row>
    <row r="17" spans="1:10" ht="17.25" thickBot="1" x14ac:dyDescent="0.35">
      <c r="A17" s="164"/>
      <c r="B17" s="131" t="s">
        <v>140</v>
      </c>
      <c r="C17" s="114">
        <f>PECfish_oral_pred/PNECoral</f>
        <v>192.34958739840354</v>
      </c>
      <c r="D17" s="106"/>
      <c r="E17" s="106"/>
      <c r="F17" s="106"/>
      <c r="G17" s="106"/>
      <c r="H17" s="142"/>
      <c r="I17" s="142"/>
      <c r="J17" s="142"/>
    </row>
    <row r="18" spans="1:10" x14ac:dyDescent="0.3">
      <c r="A18" s="163" t="s">
        <v>141</v>
      </c>
      <c r="B18" s="132" t="s">
        <v>142</v>
      </c>
      <c r="C18" s="115">
        <v>0.1</v>
      </c>
      <c r="D18" s="106" t="s">
        <v>143</v>
      </c>
      <c r="E18" s="106"/>
      <c r="F18" s="106"/>
      <c r="G18" s="106"/>
      <c r="H18" s="140" t="s">
        <v>144</v>
      </c>
      <c r="I18" s="139"/>
      <c r="J18" s="139"/>
    </row>
    <row r="19" spans="1:10" x14ac:dyDescent="0.3">
      <c r="A19" s="165"/>
      <c r="B19" s="133" t="s">
        <v>145</v>
      </c>
      <c r="C19" s="116">
        <v>1700</v>
      </c>
      <c r="D19" s="106" t="s">
        <v>143</v>
      </c>
      <c r="E19" s="106"/>
      <c r="F19" s="106"/>
      <c r="G19" s="106"/>
      <c r="H19" s="140" t="s">
        <v>146</v>
      </c>
      <c r="I19" s="138" t="s">
        <v>147</v>
      </c>
      <c r="J19" s="139"/>
    </row>
    <row r="20" spans="1:10" x14ac:dyDescent="0.3">
      <c r="A20" s="165"/>
      <c r="B20" s="133" t="s">
        <v>148</v>
      </c>
      <c r="C20" s="117">
        <v>0.6</v>
      </c>
      <c r="D20" s="106" t="s">
        <v>143</v>
      </c>
      <c r="H20" s="142" t="s">
        <v>149</v>
      </c>
      <c r="I20" s="142">
        <v>40</v>
      </c>
      <c r="J20" s="139"/>
    </row>
    <row r="21" spans="1:10" x14ac:dyDescent="0.3">
      <c r="A21" s="165"/>
      <c r="B21" s="133" t="s">
        <v>150</v>
      </c>
      <c r="C21" s="116">
        <v>2500</v>
      </c>
      <c r="D21" s="106" t="s">
        <v>143</v>
      </c>
      <c r="H21" s="142" t="s">
        <v>151</v>
      </c>
      <c r="I21" s="142">
        <v>20</v>
      </c>
      <c r="J21" s="139"/>
    </row>
    <row r="22" spans="1:10" x14ac:dyDescent="0.3">
      <c r="A22" s="165"/>
      <c r="B22" s="133" t="s">
        <v>152</v>
      </c>
      <c r="C22" s="118">
        <f>C19/(C20*C21)</f>
        <v>1.1333333333333333</v>
      </c>
      <c r="D22" s="106" t="s">
        <v>143</v>
      </c>
      <c r="H22" s="142" t="s">
        <v>153</v>
      </c>
      <c r="I22" s="142">
        <v>8.3000000000000007</v>
      </c>
      <c r="J22" s="139"/>
    </row>
    <row r="23" spans="1:10" x14ac:dyDescent="0.3">
      <c r="A23" s="122"/>
      <c r="B23" s="133" t="s">
        <v>154</v>
      </c>
      <c r="C23" s="116">
        <v>1</v>
      </c>
      <c r="D23" s="106" t="s">
        <v>143</v>
      </c>
      <c r="H23" s="142" t="s">
        <v>155</v>
      </c>
      <c r="I23" s="142">
        <v>8.3000000000000007</v>
      </c>
      <c r="J23" s="139"/>
    </row>
    <row r="24" spans="1:10" x14ac:dyDescent="0.3">
      <c r="A24" s="123"/>
      <c r="B24" s="134" t="s">
        <v>156</v>
      </c>
      <c r="C24" s="119">
        <f>(0.84+0.012*Kow)/C23</f>
        <v>363.2342064482425</v>
      </c>
      <c r="H24" s="142" t="s">
        <v>157</v>
      </c>
      <c r="I24" s="142">
        <v>33.299999999999997</v>
      </c>
      <c r="J24" s="139"/>
    </row>
    <row r="25" spans="1:10" x14ac:dyDescent="0.3">
      <c r="A25" s="123"/>
      <c r="B25" s="134" t="s">
        <v>158</v>
      </c>
      <c r="C25" s="119">
        <f>(BCFworm*PECpw+PECsoil*Fgut*C22)/(1+Fgut*C22)</f>
        <v>111.51804249535112</v>
      </c>
      <c r="H25" s="142" t="s">
        <v>120</v>
      </c>
      <c r="I25" s="142">
        <v>20</v>
      </c>
      <c r="J25" s="139"/>
    </row>
    <row r="26" spans="1:10" ht="17.25" thickBot="1" x14ac:dyDescent="0.35">
      <c r="A26" s="123"/>
      <c r="B26" s="134" t="s">
        <v>159</v>
      </c>
      <c r="C26" s="119">
        <f>PECworm_oral_pred/PNECoral</f>
        <v>0.41819265935756667</v>
      </c>
      <c r="H26" s="142" t="s">
        <v>160</v>
      </c>
      <c r="I26" s="142">
        <v>10</v>
      </c>
      <c r="J26" s="139"/>
    </row>
    <row r="27" spans="1:10" ht="13.5" customHeight="1" x14ac:dyDescent="0.3">
      <c r="A27" s="124"/>
      <c r="B27" s="167" t="s">
        <v>175</v>
      </c>
      <c r="C27" s="167"/>
      <c r="H27" s="142" t="s">
        <v>161</v>
      </c>
      <c r="I27" s="142">
        <v>8</v>
      </c>
      <c r="J27" s="139"/>
    </row>
    <row r="28" spans="1:10" ht="13.9" customHeight="1" x14ac:dyDescent="0.3">
      <c r="A28" s="128"/>
      <c r="B28" s="168"/>
      <c r="C28" s="168"/>
      <c r="H28" s="142"/>
      <c r="I28" s="142"/>
      <c r="J28" s="139"/>
    </row>
    <row r="29" spans="1:10" ht="13.9" customHeight="1" x14ac:dyDescent="0.3">
      <c r="A29" s="128"/>
      <c r="B29" s="168"/>
      <c r="C29" s="168"/>
      <c r="H29" s="143"/>
      <c r="I29" s="143"/>
      <c r="J29" s="144"/>
    </row>
    <row r="30" spans="1:10" ht="31.5" customHeight="1" x14ac:dyDescent="0.3">
      <c r="A30" s="128"/>
      <c r="B30" s="168"/>
      <c r="C30" s="168"/>
    </row>
    <row r="31" spans="1:10" x14ac:dyDescent="0.3">
      <c r="A31" s="120" t="s">
        <v>162</v>
      </c>
    </row>
    <row r="32" spans="1:10" ht="15" customHeight="1" x14ac:dyDescent="0.3">
      <c r="A32" s="137" t="s">
        <v>176</v>
      </c>
      <c r="B32" s="137" t="s">
        <v>178</v>
      </c>
    </row>
    <row r="33" spans="1:2" ht="15" customHeight="1" x14ac:dyDescent="0.3">
      <c r="A33" s="137" t="s">
        <v>134</v>
      </c>
      <c r="B33" s="137" t="s">
        <v>179</v>
      </c>
    </row>
    <row r="34" spans="1:2" ht="13.5" customHeight="1" x14ac:dyDescent="0.3">
      <c r="A34" s="137" t="s">
        <v>163</v>
      </c>
      <c r="B34" s="137" t="s">
        <v>164</v>
      </c>
    </row>
    <row r="35" spans="1:2" x14ac:dyDescent="0.3">
      <c r="A35" s="137" t="s">
        <v>165</v>
      </c>
      <c r="B35" s="137" t="s">
        <v>166</v>
      </c>
    </row>
    <row r="36" spans="1:2" x14ac:dyDescent="0.3">
      <c r="A36" s="137" t="s">
        <v>167</v>
      </c>
      <c r="B36" s="137" t="s">
        <v>168</v>
      </c>
    </row>
    <row r="37" spans="1:2" x14ac:dyDescent="0.3">
      <c r="A37" s="137" t="s">
        <v>169</v>
      </c>
      <c r="B37" s="137" t="s">
        <v>170</v>
      </c>
    </row>
    <row r="38" spans="1:2" x14ac:dyDescent="0.3">
      <c r="A38" s="137" t="s">
        <v>171</v>
      </c>
      <c r="B38" s="137" t="s">
        <v>172</v>
      </c>
    </row>
    <row r="39" spans="1:2" x14ac:dyDescent="0.3">
      <c r="A39" s="137" t="s">
        <v>173</v>
      </c>
      <c r="B39" s="137" t="s">
        <v>174</v>
      </c>
    </row>
  </sheetData>
  <sheetProtection algorithmName="SHA-512" hashValue="aaBwGxOS/PHOpCqefoa4PDf7K0kjc8lFAzaOGCQ1IGLyatkngYLBwOynrCxSvs5w64DtVVD6/lbMoAF9nPt/9A==" saltValue="Cub3/VfjKt2hUoTzV30moA==" spinCount="100000" sheet="1" objects="1" scenarios="1"/>
  <mergeCells count="4">
    <mergeCell ref="A13:A17"/>
    <mergeCell ref="A18:A22"/>
    <mergeCell ref="A9:D9"/>
    <mergeCell ref="B27:C30"/>
  </mergeCells>
  <dataValidations count="3">
    <dataValidation type="list" allowBlank="1" showInputMessage="1" showErrorMessage="1" sqref="D13" xr:uid="{00000000-0002-0000-0300-000000000000}">
      <formula1>$H$13:$H$15</formula1>
    </dataValidation>
    <dataValidation type="list" allowBlank="1" showInputMessage="1" showErrorMessage="1" sqref="D4" xr:uid="{00000000-0002-0000-0300-000001000000}">
      <formula1>$H$20:$H$27</formula1>
    </dataValidation>
    <dataValidation type="list" allowBlank="1" showInputMessage="1" showErrorMessage="1" sqref="D5" xr:uid="{00000000-0002-0000-0300-000002000000}">
      <formula1>$H$4:$H$8</formula1>
    </dataValidation>
  </dataValidations>
  <pageMargins left="0.7" right="0.7" top="0.75" bottom="0.75" header="0.3" footer="0.3"/>
  <pageSetup paperSize="9" orientation="portrait"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6A267C7F0C76044ADC95CF127E5C6DF" ma:contentTypeVersion="6" ma:contentTypeDescription="Create a new document." ma:contentTypeScope="" ma:versionID="650ff6b55105254a81650244dfbcad2a">
  <xsd:schema xmlns:xsd="http://www.w3.org/2001/XMLSchema" xmlns:xs="http://www.w3.org/2001/XMLSchema" xmlns:p="http://schemas.microsoft.com/office/2006/metadata/properties" xmlns:ns2="09712e74-8dcf-413a-8ebd-9acde3d1c7ac" xmlns:ns3="238671c3-dd0d-40b8-a0b8-5f1ddea292b2" targetNamespace="http://schemas.microsoft.com/office/2006/metadata/properties" ma:root="true" ma:fieldsID="81e59ecb91f61624cb0096bb836cb1ba" ns2:_="" ns3:_="">
    <xsd:import namespace="09712e74-8dcf-413a-8ebd-9acde3d1c7ac"/>
    <xsd:import namespace="238671c3-dd0d-40b8-a0b8-5f1ddea292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712e74-8dcf-413a-8ebd-9acde3d1c7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8671c3-dd0d-40b8-a0b8-5f1ddea292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0B06F1-3290-45E1-B17E-97F1800B567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E7B84D7-CC18-47C0-B6DB-EA99F3AA66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712e74-8dcf-413a-8ebd-9acde3d1c7ac"/>
    <ds:schemaRef ds:uri="238671c3-dd0d-40b8-a0b8-5f1ddea292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F7D0CB-FD0E-4617-838F-AF5FC00F7B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ERA Terrestrial -Phase I</vt:lpstr>
      <vt:lpstr>ERA Terrestrial -Phase II</vt:lpstr>
      <vt:lpstr>ERA Aquaculture</vt:lpstr>
      <vt:lpstr>Secondary Poisoning</vt:lpstr>
      <vt:lpstr>AF</vt:lpstr>
      <vt:lpstr>BCFfish</vt:lpstr>
      <vt:lpstr>BCFworm</vt:lpstr>
      <vt:lpstr>BMF</vt:lpstr>
      <vt:lpstr>CONVsoil</vt:lpstr>
      <vt:lpstr>CV</vt:lpstr>
      <vt:lpstr>Fgut</vt:lpstr>
      <vt:lpstr>Kow</vt:lpstr>
      <vt:lpstr>logBCFfish</vt:lpstr>
      <vt:lpstr>LogKow</vt:lpstr>
      <vt:lpstr>NOAEL</vt:lpstr>
      <vt:lpstr>NOEC</vt:lpstr>
      <vt:lpstr>PECfish_oral_pred</vt:lpstr>
      <vt:lpstr>PECpw</vt:lpstr>
      <vt:lpstr>PECsoil</vt:lpstr>
      <vt:lpstr>PECsw</vt:lpstr>
      <vt:lpstr>PECworm_oral_pred</vt:lpstr>
      <vt:lpstr>PNECoral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van Beelen</dc:creator>
  <cp:keywords/>
  <dc:description/>
  <cp:lastModifiedBy>Jordi Tarres-Call</cp:lastModifiedBy>
  <cp:revision/>
  <dcterms:created xsi:type="dcterms:W3CDTF">2013-10-16T11:56:15Z</dcterms:created>
  <dcterms:modified xsi:type="dcterms:W3CDTF">2022-03-16T08:19:05Z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0x01010036A267C7F0C76044ADC95CF127E5C6DF</vt:lpwstr>
  </property>
</Properties>
</file>