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llima\Desktop\"/>
    </mc:Choice>
  </mc:AlternateContent>
  <xr:revisionPtr revIDLastSave="0" documentId="8_{FBB87183-B8A4-4133-AB87-B57EC370C778}" xr6:coauthVersionLast="45" xr6:coauthVersionMax="45" xr10:uidLastSave="{00000000-0000-0000-0000-000000000000}"/>
  <workbookProtection workbookAlgorithmName="SHA-512" workbookHashValue="cM+Na4azQlxbWXf7mtA2BZo1MwduVDfxzMWE7SNMpyWfn6JY19TmrlUFboF3DAn9K3tBIdcryZVF75UiA1pesg==" workbookSaltValue="Wi1+zVa6u/7210V3YslBUQ==" workbookSpinCount="100000" lockStructure="1"/>
  <bookViews>
    <workbookView xWindow="-120" yWindow="-120" windowWidth="20730" windowHeight="11160" tabRatio="717" xr2:uid="{00000000-000D-0000-FFFF-FFFF00000000}"/>
  </bookViews>
  <sheets>
    <sheet name="ERA Terrestrial -Phase I" sheetId="12" r:id="rId1"/>
    <sheet name="ERA Terrestrial -Phase II" sheetId="15" r:id="rId2"/>
    <sheet name="ERA Aquaculture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5" l="1"/>
  <c r="C2" i="15"/>
  <c r="D15" i="12" l="1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C15" i="12"/>
  <c r="C5" i="15"/>
  <c r="M3" i="15" s="1"/>
  <c r="C4" i="15"/>
  <c r="S15" i="15"/>
  <c r="R15" i="15"/>
  <c r="R33" i="15" s="1"/>
  <c r="Q15" i="15"/>
  <c r="P15" i="15"/>
  <c r="P32" i="15" s="1"/>
  <c r="O15" i="15"/>
  <c r="N15" i="15"/>
  <c r="N33" i="15" s="1"/>
  <c r="M15" i="15"/>
  <c r="L15" i="15"/>
  <c r="L32" i="15" s="1"/>
  <c r="K15" i="15"/>
  <c r="J15" i="15"/>
  <c r="J33" i="15" s="1"/>
  <c r="I15" i="15"/>
  <c r="H15" i="15"/>
  <c r="H32" i="15" s="1"/>
  <c r="G15" i="15"/>
  <c r="F15" i="15"/>
  <c r="F33" i="15" s="1"/>
  <c r="E15" i="15"/>
  <c r="D15" i="15"/>
  <c r="D32" i="15" s="1"/>
  <c r="C15" i="15"/>
  <c r="N16" i="15" l="1"/>
  <c r="N30" i="15" s="1"/>
  <c r="N20" i="15"/>
  <c r="N32" i="15"/>
  <c r="R16" i="15"/>
  <c r="R30" i="15" s="1"/>
  <c r="R20" i="15"/>
  <c r="R32" i="15"/>
  <c r="F16" i="15"/>
  <c r="F17" i="15" s="1"/>
  <c r="F18" i="15" s="1"/>
  <c r="F20" i="15"/>
  <c r="F32" i="15"/>
  <c r="J16" i="15"/>
  <c r="J20" i="15"/>
  <c r="J32" i="15"/>
  <c r="W28" i="15"/>
  <c r="W31" i="15"/>
  <c r="W32" i="15" s="1"/>
  <c r="D16" i="15"/>
  <c r="L16" i="15"/>
  <c r="D33" i="15"/>
  <c r="E32" i="15"/>
  <c r="E33" i="15"/>
  <c r="E20" i="15"/>
  <c r="E16" i="15"/>
  <c r="M32" i="15"/>
  <c r="M33" i="15"/>
  <c r="M20" i="15"/>
  <c r="M16" i="15"/>
  <c r="P20" i="15"/>
  <c r="H33" i="15"/>
  <c r="H16" i="15"/>
  <c r="P16" i="15"/>
  <c r="L33" i="15"/>
  <c r="I32" i="15"/>
  <c r="I33" i="15"/>
  <c r="I20" i="15"/>
  <c r="I16" i="15"/>
  <c r="Q32" i="15"/>
  <c r="Q33" i="15"/>
  <c r="Q20" i="15"/>
  <c r="Q16" i="15"/>
  <c r="N29" i="15"/>
  <c r="H20" i="15"/>
  <c r="C33" i="15"/>
  <c r="C20" i="15"/>
  <c r="C16" i="15"/>
  <c r="C32" i="15"/>
  <c r="G33" i="15"/>
  <c r="G20" i="15"/>
  <c r="G16" i="15"/>
  <c r="G32" i="15"/>
  <c r="K33" i="15"/>
  <c r="K20" i="15"/>
  <c r="K16" i="15"/>
  <c r="K32" i="15"/>
  <c r="O33" i="15"/>
  <c r="O20" i="15"/>
  <c r="O16" i="15"/>
  <c r="O32" i="15"/>
  <c r="S33" i="15"/>
  <c r="S20" i="15"/>
  <c r="S16" i="15"/>
  <c r="S32" i="15"/>
  <c r="J29" i="15"/>
  <c r="J17" i="15"/>
  <c r="J18" i="15" s="1"/>
  <c r="J19" i="15" s="1"/>
  <c r="J30" i="15"/>
  <c r="D20" i="15"/>
  <c r="L20" i="15"/>
  <c r="P33" i="15"/>
  <c r="N17" i="15" l="1"/>
  <c r="N18" i="15" s="1"/>
  <c r="F29" i="15"/>
  <c r="R17" i="15"/>
  <c r="R18" i="15" s="1"/>
  <c r="R19" i="15" s="1"/>
  <c r="F21" i="15"/>
  <c r="F30" i="15"/>
  <c r="R29" i="15"/>
  <c r="F19" i="15"/>
  <c r="S30" i="15"/>
  <c r="S29" i="15"/>
  <c r="S17" i="15"/>
  <c r="S18" i="15" s="1"/>
  <c r="K30" i="15"/>
  <c r="K29" i="15"/>
  <c r="K17" i="15"/>
  <c r="K18" i="15" s="1"/>
  <c r="K19" i="15" s="1"/>
  <c r="C30" i="15"/>
  <c r="C29" i="15"/>
  <c r="C17" i="15"/>
  <c r="C18" i="15" s="1"/>
  <c r="C21" i="15" s="1"/>
  <c r="M29" i="15"/>
  <c r="M30" i="15"/>
  <c r="M17" i="15"/>
  <c r="M18" i="15" s="1"/>
  <c r="M21" i="15" s="1"/>
  <c r="E29" i="15"/>
  <c r="E30" i="15"/>
  <c r="E17" i="15"/>
  <c r="E18" i="15" s="1"/>
  <c r="L30" i="15"/>
  <c r="L29" i="15"/>
  <c r="L17" i="15"/>
  <c r="L18" i="15" s="1"/>
  <c r="Q29" i="15"/>
  <c r="Q17" i="15"/>
  <c r="Q18" i="15" s="1"/>
  <c r="Q30" i="15"/>
  <c r="I29" i="15"/>
  <c r="I17" i="15"/>
  <c r="I18" i="15" s="1"/>
  <c r="I30" i="15"/>
  <c r="D30" i="15"/>
  <c r="D29" i="15"/>
  <c r="D17" i="15"/>
  <c r="D18" i="15" s="1"/>
  <c r="D19" i="15" s="1"/>
  <c r="N21" i="15"/>
  <c r="O30" i="15"/>
  <c r="O17" i="15"/>
  <c r="O18" i="15" s="1"/>
  <c r="O29" i="15"/>
  <c r="G30" i="15"/>
  <c r="G29" i="15"/>
  <c r="G17" i="15"/>
  <c r="G18" i="15" s="1"/>
  <c r="H30" i="15"/>
  <c r="H29" i="15"/>
  <c r="H17" i="15"/>
  <c r="H18" i="15" s="1"/>
  <c r="H19" i="15" s="1"/>
  <c r="N19" i="15"/>
  <c r="J21" i="15"/>
  <c r="P30" i="15"/>
  <c r="P29" i="15"/>
  <c r="P17" i="15"/>
  <c r="P18" i="15" s="1"/>
  <c r="C3" i="12"/>
  <c r="C3" i="15" s="1"/>
  <c r="W30" i="15" s="1"/>
  <c r="W29" i="15" s="1"/>
  <c r="R22" i="15" s="1"/>
  <c r="R23" i="15" s="1"/>
  <c r="R26" i="15" s="1"/>
  <c r="R21" i="15" l="1"/>
  <c r="S22" i="15"/>
  <c r="S23" i="15" s="1"/>
  <c r="S26" i="15" s="1"/>
  <c r="N34" i="15"/>
  <c r="N35" i="15" s="1"/>
  <c r="L34" i="15"/>
  <c r="L35" i="15" s="1"/>
  <c r="F22" i="15"/>
  <c r="F23" i="15" s="1"/>
  <c r="F26" i="15" s="1"/>
  <c r="K34" i="15"/>
  <c r="K35" i="15" s="1"/>
  <c r="Q34" i="15"/>
  <c r="Q35" i="15" s="1"/>
  <c r="N22" i="15"/>
  <c r="N23" i="15" s="1"/>
  <c r="N26" i="15" s="1"/>
  <c r="D22" i="15"/>
  <c r="D23" i="15" s="1"/>
  <c r="D26" i="15" s="1"/>
  <c r="O22" i="15"/>
  <c r="O23" i="15" s="1"/>
  <c r="O26" i="15" s="1"/>
  <c r="O24" i="15"/>
  <c r="O25" i="15" s="1"/>
  <c r="O27" i="15" s="1"/>
  <c r="Q22" i="15"/>
  <c r="Q23" i="15" s="1"/>
  <c r="Q26" i="15" s="1"/>
  <c r="E22" i="15"/>
  <c r="E23" i="15" s="1"/>
  <c r="E26" i="15" s="1"/>
  <c r="C22" i="15"/>
  <c r="C23" i="15" s="1"/>
  <c r="C26" i="15" s="1"/>
  <c r="M34" i="15"/>
  <c r="M35" i="15" s="1"/>
  <c r="J24" i="15"/>
  <c r="J25" i="15" s="1"/>
  <c r="J27" i="15" s="1"/>
  <c r="I34" i="15"/>
  <c r="I35" i="15" s="1"/>
  <c r="P34" i="15"/>
  <c r="P35" i="15" s="1"/>
  <c r="O34" i="15"/>
  <c r="O35" i="15" s="1"/>
  <c r="M22" i="15"/>
  <c r="M23" i="15" s="1"/>
  <c r="M26" i="15" s="1"/>
  <c r="K22" i="15"/>
  <c r="K23" i="15" s="1"/>
  <c r="K26" i="15" s="1"/>
  <c r="J34" i="15"/>
  <c r="J35" i="15" s="1"/>
  <c r="J22" i="15"/>
  <c r="J23" i="15" s="1"/>
  <c r="J26" i="15" s="1"/>
  <c r="D34" i="15"/>
  <c r="D35" i="15" s="1"/>
  <c r="G34" i="15"/>
  <c r="G35" i="15" s="1"/>
  <c r="F34" i="15"/>
  <c r="F35" i="15" s="1"/>
  <c r="R34" i="15"/>
  <c r="R35" i="15" s="1"/>
  <c r="P22" i="15"/>
  <c r="P23" i="15" s="1"/>
  <c r="P26" i="15" s="1"/>
  <c r="H22" i="15"/>
  <c r="H23" i="15" s="1"/>
  <c r="H26" i="15" s="1"/>
  <c r="G22" i="15"/>
  <c r="G23" i="15" s="1"/>
  <c r="G26" i="15" s="1"/>
  <c r="I22" i="15"/>
  <c r="I23" i="15" s="1"/>
  <c r="I26" i="15" s="1"/>
  <c r="L22" i="15"/>
  <c r="L23" i="15" s="1"/>
  <c r="L26" i="15" s="1"/>
  <c r="R24" i="15"/>
  <c r="R25" i="15" s="1"/>
  <c r="R27" i="15" s="1"/>
  <c r="E34" i="15"/>
  <c r="E35" i="15" s="1"/>
  <c r="N24" i="15"/>
  <c r="N25" i="15" s="1"/>
  <c r="N27" i="15" s="1"/>
  <c r="H34" i="15"/>
  <c r="H35" i="15" s="1"/>
  <c r="S34" i="15"/>
  <c r="S35" i="15" s="1"/>
  <c r="C34" i="15"/>
  <c r="C35" i="15" s="1"/>
  <c r="F24" i="15"/>
  <c r="F25" i="15" s="1"/>
  <c r="F27" i="15" s="1"/>
  <c r="K24" i="15"/>
  <c r="K25" i="15" s="1"/>
  <c r="K27" i="15" s="1"/>
  <c r="L19" i="15"/>
  <c r="L24" i="15"/>
  <c r="L25" i="15" s="1"/>
  <c r="L27" i="15" s="1"/>
  <c r="I19" i="15"/>
  <c r="I21" i="15"/>
  <c r="I24" i="15"/>
  <c r="I25" i="15" s="1"/>
  <c r="I27" i="15" s="1"/>
  <c r="D24" i="15"/>
  <c r="D25" i="15" s="1"/>
  <c r="D27" i="15" s="1"/>
  <c r="D21" i="15"/>
  <c r="S19" i="15"/>
  <c r="S24" i="15"/>
  <c r="S25" i="15" s="1"/>
  <c r="S27" i="15" s="1"/>
  <c r="S21" i="15"/>
  <c r="P21" i="15"/>
  <c r="P24" i="15"/>
  <c r="P25" i="15" s="1"/>
  <c r="P27" i="15" s="1"/>
  <c r="P19" i="15"/>
  <c r="G19" i="15"/>
  <c r="G21" i="15"/>
  <c r="G24" i="15"/>
  <c r="G25" i="15" s="1"/>
  <c r="G27" i="15" s="1"/>
  <c r="Q24" i="15"/>
  <c r="Q25" i="15" s="1"/>
  <c r="Q27" i="15" s="1"/>
  <c r="Q19" i="15"/>
  <c r="Q21" i="15"/>
  <c r="E24" i="15"/>
  <c r="E25" i="15" s="1"/>
  <c r="E27" i="15" s="1"/>
  <c r="E19" i="15"/>
  <c r="E21" i="15"/>
  <c r="C24" i="15"/>
  <c r="C25" i="15" s="1"/>
  <c r="C27" i="15" s="1"/>
  <c r="M19" i="15"/>
  <c r="C19" i="15"/>
  <c r="K21" i="15"/>
  <c r="O21" i="15"/>
  <c r="O19" i="15"/>
  <c r="L21" i="15"/>
  <c r="H24" i="15"/>
  <c r="H25" i="15" s="1"/>
  <c r="H27" i="15" s="1"/>
  <c r="M24" i="15"/>
  <c r="M25" i="15" s="1"/>
  <c r="M27" i="15" s="1"/>
  <c r="H21" i="15"/>
  <c r="J10" i="14"/>
  <c r="I10" i="14"/>
  <c r="H10" i="14"/>
  <c r="W31" i="12" l="1"/>
  <c r="W32" i="12"/>
  <c r="G10" i="14" l="1"/>
  <c r="C16" i="12" l="1"/>
  <c r="C17" i="12" l="1"/>
  <c r="C20" i="12"/>
  <c r="W28" i="12"/>
  <c r="G3" i="12" l="1"/>
  <c r="W30" i="12"/>
  <c r="W29" i="12" s="1"/>
  <c r="C12" i="14"/>
  <c r="C13" i="14" s="1"/>
  <c r="C22" i="12" l="1"/>
  <c r="C18" i="12"/>
  <c r="O16" i="12" l="1"/>
  <c r="O20" i="12"/>
  <c r="O22" i="12" s="1"/>
  <c r="J16" i="12"/>
  <c r="J20" i="12"/>
  <c r="J22" i="12" s="1"/>
  <c r="F16" i="12"/>
  <c r="F20" i="12"/>
  <c r="F22" i="12" s="1"/>
  <c r="S16" i="12"/>
  <c r="S20" i="12"/>
  <c r="S22" i="12" s="1"/>
  <c r="N16" i="12"/>
  <c r="N20" i="12"/>
  <c r="N22" i="12" s="1"/>
  <c r="I20" i="12"/>
  <c r="I22" i="12" s="1"/>
  <c r="I16" i="12"/>
  <c r="E20" i="12"/>
  <c r="E22" i="12" s="1"/>
  <c r="E16" i="12"/>
  <c r="R16" i="12"/>
  <c r="R20" i="12"/>
  <c r="R22" i="12" s="1"/>
  <c r="Q20" i="12"/>
  <c r="Q22" i="12" s="1"/>
  <c r="Q16" i="12"/>
  <c r="L20" i="12"/>
  <c r="L22" i="12" s="1"/>
  <c r="L16" i="12"/>
  <c r="H20" i="12"/>
  <c r="H22" i="12" s="1"/>
  <c r="H16" i="12"/>
  <c r="D20" i="12"/>
  <c r="D22" i="12" s="1"/>
  <c r="D16" i="12"/>
  <c r="P20" i="12"/>
  <c r="P22" i="12" s="1"/>
  <c r="P16" i="12"/>
  <c r="K16" i="12"/>
  <c r="K20" i="12"/>
  <c r="K22" i="12" s="1"/>
  <c r="G16" i="12"/>
  <c r="G20" i="12"/>
  <c r="G22" i="12" s="1"/>
  <c r="M20" i="12"/>
  <c r="M22" i="12" s="1"/>
  <c r="M16" i="12"/>
  <c r="M17" i="12" l="1"/>
  <c r="G17" i="12"/>
  <c r="L17" i="12"/>
  <c r="F17" i="12"/>
  <c r="O17" i="12"/>
  <c r="P17" i="12"/>
  <c r="P18" i="12" s="1"/>
  <c r="R17" i="12"/>
  <c r="R18" i="12" s="1"/>
  <c r="S17" i="12"/>
  <c r="S18" i="12" s="1"/>
  <c r="S21" i="12" s="1"/>
  <c r="H17" i="12"/>
  <c r="Q17" i="12"/>
  <c r="Q18" i="12" s="1"/>
  <c r="I17" i="12"/>
  <c r="N17" i="12"/>
  <c r="J17" i="12"/>
  <c r="K17" i="12"/>
  <c r="D17" i="12"/>
  <c r="E17" i="12"/>
  <c r="R19" i="12" l="1"/>
  <c r="R21" i="12"/>
  <c r="S19" i="12"/>
  <c r="Q19" i="12"/>
  <c r="Q21" i="12"/>
  <c r="P19" i="12"/>
  <c r="P21" i="12"/>
  <c r="E18" i="12" l="1"/>
  <c r="D18" i="12"/>
  <c r="N18" i="12"/>
  <c r="N19" i="12" l="1"/>
  <c r="N21" i="12"/>
  <c r="E19" i="12"/>
  <c r="E21" i="12"/>
  <c r="D19" i="12"/>
  <c r="D21" i="12"/>
  <c r="F18" i="12"/>
  <c r="I18" i="12"/>
  <c r="K18" i="12"/>
  <c r="H18" i="12"/>
  <c r="M18" i="12"/>
  <c r="O18" i="12"/>
  <c r="G18" i="12"/>
  <c r="J18" i="12"/>
  <c r="L18" i="12"/>
  <c r="L19" i="12" l="1"/>
  <c r="L21" i="12"/>
  <c r="J19" i="12"/>
  <c r="J21" i="12"/>
  <c r="O19" i="12"/>
  <c r="O21" i="12"/>
  <c r="M19" i="12"/>
  <c r="M21" i="12"/>
  <c r="H19" i="12"/>
  <c r="H21" i="12"/>
  <c r="K19" i="12"/>
  <c r="K21" i="12"/>
  <c r="G19" i="12"/>
  <c r="G21" i="12"/>
  <c r="F19" i="12"/>
  <c r="F21" i="12"/>
  <c r="C19" i="12"/>
  <c r="C21" i="12"/>
  <c r="I19" i="12"/>
  <c r="I21" i="12"/>
</calcChain>
</file>

<file path=xl/sharedStrings.xml><?xml version="1.0" encoding="utf-8"?>
<sst xmlns="http://schemas.openxmlformats.org/spreadsheetml/2006/main" count="181" uniqueCount="115">
  <si>
    <t>MW</t>
  </si>
  <si>
    <t>SOL (mg/L)</t>
  </si>
  <si>
    <t>PEC plateau porewater (µg/L)</t>
  </si>
  <si>
    <t>PEC surface water (µg/L)</t>
  </si>
  <si>
    <t>Q kg N/ha/y</t>
  </si>
  <si>
    <t>Temp K</t>
  </si>
  <si>
    <t>Piglet</t>
  </si>
  <si>
    <t>Pig for fattening</t>
  </si>
  <si>
    <t>Sow with piglets</t>
  </si>
  <si>
    <t>Cattle for fattening</t>
  </si>
  <si>
    <t>Veal calf</t>
  </si>
  <si>
    <t>Lamb for fattening</t>
  </si>
  <si>
    <t>Sheep for fattening</t>
  </si>
  <si>
    <t>Meat sheep</t>
  </si>
  <si>
    <t>Dairy sheep</t>
  </si>
  <si>
    <t>Dairy goat</t>
  </si>
  <si>
    <t>Chicken for fattening</t>
  </si>
  <si>
    <t>Rabbit for fattening</t>
  </si>
  <si>
    <t>Horse for fattening</t>
  </si>
  <si>
    <t>C add (mg/kg)</t>
  </si>
  <si>
    <t>DEPTH GW (m)</t>
  </si>
  <si>
    <t>PEC soil ww (µg/kg)</t>
  </si>
  <si>
    <t>PEC soil ww plateau (µg/kg)</t>
  </si>
  <si>
    <t>PEC Soil dw plateau  (µg/kg)</t>
  </si>
  <si>
    <t>Fwater susp</t>
  </si>
  <si>
    <t>Foc susp</t>
  </si>
  <si>
    <t>Fsolid susp</t>
  </si>
  <si>
    <t>Laying hen</t>
  </si>
  <si>
    <t>Turkey for fattening</t>
  </si>
  <si>
    <r>
      <t>Horse</t>
    </r>
    <r>
      <rPr>
        <b/>
        <vertAlign val="superscript"/>
        <sz val="10"/>
        <rFont val="Tahoma"/>
        <family val="2"/>
      </rPr>
      <t/>
    </r>
  </si>
  <si>
    <t>SEDIMENT AQUACULTURE SEA CAGES</t>
  </si>
  <si>
    <t>SURFACE WATER AQUACULTURE RACEWAY/POND/TANKS</t>
  </si>
  <si>
    <t>Flow (L/kg fish/day)</t>
  </si>
  <si>
    <t>DF</t>
  </si>
  <si>
    <t>Salmon</t>
  </si>
  <si>
    <t>Rainbow trout</t>
  </si>
  <si>
    <t>Turbot</t>
  </si>
  <si>
    <t>Sea bass/ Sea bream</t>
  </si>
  <si>
    <t>CF (kg feed to kg tot C in faeces)</t>
  </si>
  <si>
    <t>FR (kg feed/kg fish per day)</t>
  </si>
  <si>
    <t>Additive input data</t>
  </si>
  <si>
    <t>VP (Pa)</t>
  </si>
  <si>
    <t>Koc (L/kg)</t>
  </si>
  <si>
    <t>ERA Aquaculture</t>
  </si>
  <si>
    <t>PECsoil multiple appln.</t>
  </si>
  <si>
    <t>Equilibrium partitioning PNEC</t>
  </si>
  <si>
    <t>Data for PEC refinement</t>
  </si>
  <si>
    <t>PNECsw (µg/L)</t>
  </si>
  <si>
    <t>Parameter used in equations</t>
  </si>
  <si>
    <t>PEC soil dw (µg/kg) - Phase I</t>
  </si>
  <si>
    <t>PEC porewater (µg/L) - Phase I</t>
  </si>
  <si>
    <t>Phase I</t>
  </si>
  <si>
    <t>PEC soil dw 1year (mg/kg)</t>
  </si>
  <si>
    <t>PEC manure mg/kgdw N</t>
  </si>
  <si>
    <r>
      <t>N</t>
    </r>
    <r>
      <rPr>
        <b/>
        <vertAlign val="subscript"/>
        <sz val="10"/>
        <rFont val="Calibri"/>
        <family val="2"/>
        <scheme val="minor"/>
      </rPr>
      <t>spreading</t>
    </r>
  </si>
  <si>
    <r>
      <t>PNEC</t>
    </r>
    <r>
      <rPr>
        <vertAlign val="subscript"/>
        <sz val="10"/>
        <rFont val="Calibri"/>
        <family val="2"/>
        <scheme val="minor"/>
      </rPr>
      <t>sed,EqP</t>
    </r>
    <r>
      <rPr>
        <sz val="10"/>
        <rFont val="Calibri"/>
        <family val="2"/>
        <scheme val="minor"/>
      </rPr>
      <t xml:space="preserve"> (µg/kg)</t>
    </r>
  </si>
  <si>
    <r>
      <t>T</t>
    </r>
    <r>
      <rPr>
        <b/>
        <vertAlign val="subscript"/>
        <sz val="10"/>
        <rFont val="Calibri"/>
        <family val="2"/>
        <scheme val="minor"/>
      </rPr>
      <t xml:space="preserve">interval spreading </t>
    </r>
    <r>
      <rPr>
        <b/>
        <sz val="10"/>
        <rFont val="Calibri"/>
        <family val="2"/>
        <scheme val="minor"/>
      </rPr>
      <t>(days)</t>
    </r>
  </si>
  <si>
    <r>
      <t>DT</t>
    </r>
    <r>
      <rPr>
        <b/>
        <vertAlign val="subscript"/>
        <sz val="10"/>
        <rFont val="Calibri"/>
        <family val="2"/>
        <scheme val="minor"/>
      </rPr>
      <t>50 in manure</t>
    </r>
    <r>
      <rPr>
        <b/>
        <sz val="10"/>
        <rFont val="Calibri"/>
        <family val="2"/>
        <scheme val="minor"/>
      </rPr>
      <t xml:space="preserve"> (days)</t>
    </r>
  </si>
  <si>
    <r>
      <t>T</t>
    </r>
    <r>
      <rPr>
        <b/>
        <vertAlign val="subscript"/>
        <sz val="10"/>
        <rFont val="Calibri"/>
        <family val="2"/>
        <scheme val="minor"/>
      </rPr>
      <t xml:space="preserve">st </t>
    </r>
    <r>
      <rPr>
        <b/>
        <sz val="10"/>
        <rFont val="Calibri"/>
        <family val="2"/>
        <scheme val="minor"/>
      </rPr>
      <t>(days)</t>
    </r>
  </si>
  <si>
    <r>
      <t>DEPTH</t>
    </r>
    <r>
      <rPr>
        <b/>
        <vertAlign val="subscript"/>
        <sz val="9"/>
        <rFont val="Calibri"/>
        <family val="2"/>
        <scheme val="minor"/>
      </rPr>
      <t>field</t>
    </r>
    <r>
      <rPr>
        <b/>
        <sz val="9"/>
        <rFont val="Calibri"/>
        <family val="2"/>
        <scheme val="minor"/>
      </rPr>
      <t xml:space="preserve"> (m)</t>
    </r>
  </si>
  <si>
    <r>
      <t>Dairy cow</t>
    </r>
    <r>
      <rPr>
        <b/>
        <vertAlign val="superscript"/>
        <sz val="9"/>
        <rFont val="Calibri"/>
        <family val="2"/>
        <scheme val="minor"/>
      </rPr>
      <t xml:space="preserve"> </t>
    </r>
  </si>
  <si>
    <r>
      <t>RHO dry soil kg/m</t>
    </r>
    <r>
      <rPr>
        <i/>
        <vertAlign val="superscript"/>
        <sz val="10"/>
        <rFont val="Calibri"/>
        <family val="2"/>
        <scheme val="minor"/>
      </rPr>
      <t>3</t>
    </r>
  </si>
  <si>
    <r>
      <t>FI</t>
    </r>
    <r>
      <rPr>
        <vertAlign val="subscript"/>
        <sz val="9"/>
        <rFont val="Calibri"/>
        <family val="2"/>
        <scheme val="minor"/>
      </rPr>
      <t>total</t>
    </r>
    <r>
      <rPr>
        <sz val="9"/>
        <rFont val="Calibri"/>
        <family val="2"/>
        <scheme val="minor"/>
      </rPr>
      <t xml:space="preserve"> kg feed /animal/year</t>
    </r>
  </si>
  <si>
    <r>
      <t>CONV</t>
    </r>
    <r>
      <rPr>
        <i/>
        <vertAlign val="subscript"/>
        <sz val="10"/>
        <rFont val="Calibri"/>
        <family val="2"/>
        <scheme val="minor"/>
      </rPr>
      <t>area field</t>
    </r>
    <r>
      <rPr>
        <i/>
        <sz val="10"/>
        <rFont val="Calibri"/>
        <family val="2"/>
        <scheme val="minor"/>
      </rPr>
      <t xml:space="preserve"> m</t>
    </r>
    <r>
      <rPr>
        <i/>
        <vertAlign val="superscript"/>
        <sz val="10"/>
        <rFont val="Calibri"/>
        <family val="2"/>
        <scheme val="minor"/>
      </rPr>
      <t>2</t>
    </r>
    <r>
      <rPr>
        <i/>
        <sz val="10"/>
        <rFont val="Calibri"/>
        <family val="2"/>
        <scheme val="minor"/>
      </rPr>
      <t>/ha</t>
    </r>
  </si>
  <si>
    <r>
      <t>N</t>
    </r>
    <r>
      <rPr>
        <vertAlign val="subscript"/>
        <sz val="9"/>
        <rFont val="Calibri"/>
        <family val="2"/>
        <scheme val="minor"/>
      </rPr>
      <t>excreted</t>
    </r>
    <r>
      <rPr>
        <sz val="9"/>
        <rFont val="Calibri"/>
        <family val="2"/>
        <scheme val="minor"/>
      </rPr>
      <t xml:space="preserve"> kg/animal/y</t>
    </r>
  </si>
  <si>
    <r>
      <t>RHO fresh soil kg m</t>
    </r>
    <r>
      <rPr>
        <i/>
        <vertAlign val="superscript"/>
        <sz val="10"/>
        <rFont val="Calibri"/>
        <family val="2"/>
        <scheme val="minor"/>
      </rPr>
      <t>-3</t>
    </r>
  </si>
  <si>
    <r>
      <t>R Pa m</t>
    </r>
    <r>
      <rPr>
        <i/>
        <vertAlign val="superscript"/>
        <sz val="10"/>
        <rFont val="Calibri"/>
        <family val="2"/>
        <scheme val="minor"/>
      </rPr>
      <t>3</t>
    </r>
    <r>
      <rPr>
        <i/>
        <sz val="10"/>
        <rFont val="Calibri"/>
        <family val="2"/>
        <scheme val="minor"/>
      </rPr>
      <t xml:space="preserve"> mol</t>
    </r>
    <r>
      <rPr>
        <i/>
        <vertAlign val="superscript"/>
        <sz val="10"/>
        <rFont val="Calibri"/>
        <family val="2"/>
        <scheme val="minor"/>
      </rPr>
      <t>-1</t>
    </r>
    <r>
      <rPr>
        <i/>
        <sz val="10"/>
        <rFont val="Calibri"/>
        <family val="2"/>
        <scheme val="minor"/>
      </rPr>
      <t xml:space="preserve"> K</t>
    </r>
    <r>
      <rPr>
        <i/>
        <vertAlign val="superscript"/>
        <sz val="10"/>
        <rFont val="Calibri"/>
        <family val="2"/>
        <scheme val="minor"/>
      </rPr>
      <t>-1</t>
    </r>
  </si>
  <si>
    <r>
      <t>F</t>
    </r>
    <r>
      <rPr>
        <i/>
        <vertAlign val="subscript"/>
        <sz val="10"/>
        <rFont val="Calibri"/>
        <family val="2"/>
        <scheme val="minor"/>
      </rPr>
      <t>solid soil</t>
    </r>
    <r>
      <rPr>
        <i/>
        <sz val="10"/>
        <rFont val="Calibri"/>
        <family val="2"/>
        <scheme val="minor"/>
      </rPr>
      <t xml:space="preserve"> m</t>
    </r>
    <r>
      <rPr>
        <i/>
        <vertAlign val="superscript"/>
        <sz val="10"/>
        <rFont val="Calibri"/>
        <family val="2"/>
        <scheme val="minor"/>
      </rPr>
      <t>3</t>
    </r>
    <r>
      <rPr>
        <i/>
        <sz val="10"/>
        <rFont val="Calibri"/>
        <family val="2"/>
        <scheme val="minor"/>
      </rPr>
      <t>/m</t>
    </r>
    <r>
      <rPr>
        <i/>
        <vertAlign val="superscript"/>
        <sz val="10"/>
        <rFont val="Calibri"/>
        <family val="2"/>
        <scheme val="minor"/>
      </rPr>
      <t>3</t>
    </r>
  </si>
  <si>
    <r>
      <t>F</t>
    </r>
    <r>
      <rPr>
        <i/>
        <vertAlign val="subscript"/>
        <sz val="10"/>
        <rFont val="Calibri"/>
        <family val="2"/>
        <scheme val="minor"/>
      </rPr>
      <t>water soil</t>
    </r>
  </si>
  <si>
    <r>
      <t>F</t>
    </r>
    <r>
      <rPr>
        <i/>
        <vertAlign val="subscript"/>
        <sz val="10"/>
        <rFont val="Calibri"/>
        <family val="2"/>
        <scheme val="minor"/>
      </rPr>
      <t>air soil</t>
    </r>
  </si>
  <si>
    <r>
      <t>Foc</t>
    </r>
    <r>
      <rPr>
        <i/>
        <vertAlign val="subscript"/>
        <sz val="10"/>
        <rFont val="Calibri"/>
        <family val="2"/>
        <scheme val="minor"/>
      </rPr>
      <t>soil</t>
    </r>
    <r>
      <rPr>
        <i/>
        <sz val="10"/>
        <rFont val="Calibri"/>
        <family val="2"/>
        <scheme val="minor"/>
      </rPr>
      <t xml:space="preserve"> kg/kg</t>
    </r>
  </si>
  <si>
    <r>
      <t>RHO</t>
    </r>
    <r>
      <rPr>
        <i/>
        <vertAlign val="subscript"/>
        <sz val="10"/>
        <rFont val="Calibri"/>
        <family val="2"/>
        <scheme val="minor"/>
      </rPr>
      <t>solid</t>
    </r>
    <r>
      <rPr>
        <i/>
        <sz val="10"/>
        <rFont val="Calibri"/>
        <family val="2"/>
        <scheme val="minor"/>
      </rPr>
      <t xml:space="preserve"> kg/m</t>
    </r>
    <r>
      <rPr>
        <i/>
        <vertAlign val="superscript"/>
        <sz val="10"/>
        <rFont val="Calibri"/>
        <family val="2"/>
        <scheme val="minor"/>
      </rPr>
      <t>3</t>
    </r>
  </si>
  <si>
    <r>
      <t>RHO</t>
    </r>
    <r>
      <rPr>
        <i/>
        <vertAlign val="subscript"/>
        <sz val="10"/>
        <rFont val="Calibri"/>
        <family val="2"/>
        <scheme val="minor"/>
      </rPr>
      <t>susp</t>
    </r>
    <r>
      <rPr>
        <i/>
        <sz val="10"/>
        <rFont val="Calibri"/>
        <family val="2"/>
        <scheme val="minor"/>
      </rPr>
      <t xml:space="preserve"> kg/m</t>
    </r>
    <r>
      <rPr>
        <i/>
        <vertAlign val="superscript"/>
        <sz val="10"/>
        <rFont val="Calibri"/>
        <family val="2"/>
        <scheme val="minor"/>
      </rPr>
      <t>3</t>
    </r>
  </si>
  <si>
    <r>
      <t>L/m</t>
    </r>
    <r>
      <rPr>
        <i/>
        <vertAlign val="superscript"/>
        <sz val="10"/>
        <rFont val="Calibri"/>
        <family val="2"/>
        <scheme val="minor"/>
      </rPr>
      <t>3</t>
    </r>
  </si>
  <si>
    <r>
      <t>Kp</t>
    </r>
    <r>
      <rPr>
        <i/>
        <vertAlign val="subscript"/>
        <sz val="10"/>
        <rFont val="Calibri"/>
        <family val="2"/>
        <scheme val="minor"/>
      </rPr>
      <t>soil</t>
    </r>
    <r>
      <rPr>
        <i/>
        <sz val="10"/>
        <rFont val="Calibri"/>
        <family val="2"/>
        <scheme val="minor"/>
      </rPr>
      <t xml:space="preserve"> dm</t>
    </r>
    <r>
      <rPr>
        <i/>
        <vertAlign val="superscript"/>
        <sz val="10"/>
        <rFont val="Calibri"/>
        <family val="2"/>
        <scheme val="minor"/>
      </rPr>
      <t>3</t>
    </r>
    <r>
      <rPr>
        <i/>
        <sz val="10"/>
        <rFont val="Calibri"/>
        <family val="2"/>
        <scheme val="minor"/>
      </rPr>
      <t>/kg</t>
    </r>
  </si>
  <si>
    <r>
      <t>K</t>
    </r>
    <r>
      <rPr>
        <i/>
        <vertAlign val="subscript"/>
        <sz val="10"/>
        <rFont val="Calibri"/>
        <family val="2"/>
        <scheme val="minor"/>
      </rPr>
      <t>soil-water</t>
    </r>
    <r>
      <rPr>
        <i/>
        <sz val="10"/>
        <rFont val="Calibri"/>
        <family val="2"/>
        <scheme val="minor"/>
      </rPr>
      <t xml:space="preserve"> m</t>
    </r>
    <r>
      <rPr>
        <i/>
        <vertAlign val="superscript"/>
        <sz val="10"/>
        <rFont val="Calibri"/>
        <family val="2"/>
        <scheme val="minor"/>
      </rPr>
      <t>3</t>
    </r>
    <r>
      <rPr>
        <i/>
        <sz val="10"/>
        <rFont val="Calibri"/>
        <family val="2"/>
        <scheme val="minor"/>
      </rPr>
      <t>/m</t>
    </r>
    <r>
      <rPr>
        <i/>
        <vertAlign val="superscript"/>
        <sz val="10"/>
        <rFont val="Calibri"/>
        <family val="2"/>
        <scheme val="minor"/>
      </rPr>
      <t>3</t>
    </r>
  </si>
  <si>
    <r>
      <t>K</t>
    </r>
    <r>
      <rPr>
        <i/>
        <vertAlign val="subscript"/>
        <sz val="10"/>
        <rFont val="Calibri"/>
        <family val="2"/>
        <scheme val="minor"/>
      </rPr>
      <t>air-water</t>
    </r>
    <r>
      <rPr>
        <i/>
        <sz val="10"/>
        <rFont val="Calibri"/>
        <family val="2"/>
        <scheme val="minor"/>
      </rPr>
      <t xml:space="preserve"> m</t>
    </r>
    <r>
      <rPr>
        <i/>
        <vertAlign val="superscript"/>
        <sz val="10"/>
        <rFont val="Calibri"/>
        <family val="2"/>
        <scheme val="minor"/>
      </rPr>
      <t>3</t>
    </r>
    <r>
      <rPr>
        <i/>
        <sz val="10"/>
        <rFont val="Calibri"/>
        <family val="2"/>
        <scheme val="minor"/>
      </rPr>
      <t>/m</t>
    </r>
    <r>
      <rPr>
        <i/>
        <vertAlign val="superscript"/>
        <sz val="10"/>
        <rFont val="Calibri"/>
        <family val="2"/>
        <scheme val="minor"/>
      </rPr>
      <t>3</t>
    </r>
  </si>
  <si>
    <r>
      <t>Kpsusp dm</t>
    </r>
    <r>
      <rPr>
        <i/>
        <vertAlign val="superscript"/>
        <sz val="10"/>
        <rFont val="Calibri"/>
        <family val="2"/>
        <scheme val="minor"/>
      </rPr>
      <t>3</t>
    </r>
    <r>
      <rPr>
        <i/>
        <sz val="10"/>
        <rFont val="Calibri"/>
        <family val="2"/>
        <scheme val="minor"/>
      </rPr>
      <t>/kg</t>
    </r>
  </si>
  <si>
    <r>
      <t>K</t>
    </r>
    <r>
      <rPr>
        <i/>
        <vertAlign val="subscript"/>
        <sz val="10"/>
        <rFont val="Calibri"/>
        <family val="2"/>
        <scheme val="minor"/>
      </rPr>
      <t>susp-water</t>
    </r>
    <r>
      <rPr>
        <i/>
        <sz val="10"/>
        <rFont val="Calibri"/>
        <family val="2"/>
        <scheme val="minor"/>
      </rPr>
      <t xml:space="preserve"> m</t>
    </r>
    <r>
      <rPr>
        <i/>
        <vertAlign val="superscript"/>
        <sz val="10"/>
        <rFont val="Calibri"/>
        <family val="2"/>
        <scheme val="minor"/>
      </rPr>
      <t>3</t>
    </r>
    <r>
      <rPr>
        <i/>
        <sz val="10"/>
        <rFont val="Calibri"/>
        <family val="2"/>
        <scheme val="minor"/>
      </rPr>
      <t>/m</t>
    </r>
    <r>
      <rPr>
        <i/>
        <vertAlign val="superscript"/>
        <sz val="10"/>
        <rFont val="Calibri"/>
        <family val="2"/>
        <scheme val="minor"/>
      </rPr>
      <t>3</t>
    </r>
  </si>
  <si>
    <t>Fa (% excreted, [0 - 1])</t>
  </si>
  <si>
    <t>Fixed input parameters</t>
  </si>
  <si>
    <t>Dependent distribution coefficients</t>
  </si>
  <si>
    <t>Fd (% of FA degraded within 1 year)</t>
  </si>
  <si>
    <r>
      <t>DT</t>
    </r>
    <r>
      <rPr>
        <b/>
        <vertAlign val="subscript"/>
        <sz val="10"/>
        <rFont val="Calibri"/>
        <family val="2"/>
        <scheme val="minor"/>
      </rPr>
      <t>50</t>
    </r>
    <r>
      <rPr>
        <b/>
        <sz val="10"/>
        <rFont val="Calibri"/>
        <family val="2"/>
        <scheme val="minor"/>
      </rPr>
      <t xml:space="preserve"> (days)</t>
    </r>
  </si>
  <si>
    <t>Assessment endpoint (&lt;10 µg/kg)?</t>
  </si>
  <si>
    <t>Assessment endpoint (&lt;0.1 µg/kg)?</t>
  </si>
  <si>
    <t>Application rate (kg/ha) (for PEC GW refinement with FOCUS PEARL)</t>
  </si>
  <si>
    <t>PEC sediment (µg/kg)</t>
  </si>
  <si>
    <t>PEC plateau surface water (µg/L)</t>
  </si>
  <si>
    <t>PEC sediment plateau (µg/kg)</t>
  </si>
  <si>
    <t>PEC soil ww (µg/kg) - manure</t>
  </si>
  <si>
    <t>PEC surface water (µg/L) - manure</t>
  </si>
  <si>
    <t>Phase II - A</t>
  </si>
  <si>
    <t>Phase II - B</t>
  </si>
  <si>
    <t>PECsoil (µg/kg) - manure</t>
  </si>
  <si>
    <t>PEC porewater (µg/L) - manure</t>
  </si>
  <si>
    <t>Assessment endpoint (&lt;0.1 µg/L)</t>
  </si>
  <si>
    <r>
      <t>k</t>
    </r>
    <r>
      <rPr>
        <i/>
        <vertAlign val="subscript"/>
        <sz val="10"/>
        <rFont val="Calibri"/>
        <family val="2"/>
        <scheme val="minor"/>
      </rPr>
      <t>dep</t>
    </r>
    <r>
      <rPr>
        <i/>
        <sz val="10"/>
        <rFont val="Calibri"/>
        <family val="2"/>
        <scheme val="minor"/>
      </rPr>
      <t xml:space="preserve"> kg C/(m</t>
    </r>
    <r>
      <rPr>
        <i/>
        <vertAlign val="superscript"/>
        <sz val="10"/>
        <rFont val="Calibri"/>
        <family val="2"/>
        <scheme val="minor"/>
      </rPr>
      <t>2</t>
    </r>
    <r>
      <rPr>
        <i/>
        <sz val="10"/>
        <rFont val="Calibri"/>
        <family val="2"/>
        <scheme val="minor"/>
      </rPr>
      <t>×day)</t>
    </r>
  </si>
  <si>
    <r>
      <t>T</t>
    </r>
    <r>
      <rPr>
        <i/>
        <vertAlign val="subscript"/>
        <sz val="10"/>
        <rFont val="Calibri"/>
        <family val="2"/>
        <scheme val="minor"/>
      </rPr>
      <t>production</t>
    </r>
    <r>
      <rPr>
        <i/>
        <sz val="10"/>
        <rFont val="Calibri"/>
        <family val="2"/>
        <scheme val="minor"/>
      </rPr>
      <t xml:space="preserve"> (day)</t>
    </r>
  </si>
  <si>
    <r>
      <t>RHO</t>
    </r>
    <r>
      <rPr>
        <i/>
        <vertAlign val="subscript"/>
        <sz val="10"/>
        <rFont val="Calibri"/>
        <family val="2"/>
        <scheme val="minor"/>
      </rPr>
      <t xml:space="preserve">solid </t>
    </r>
    <r>
      <rPr>
        <i/>
        <sz val="10"/>
        <rFont val="Calibri"/>
        <family val="2"/>
        <scheme val="minor"/>
      </rPr>
      <t>kg/m</t>
    </r>
    <r>
      <rPr>
        <i/>
        <vertAlign val="superscript"/>
        <sz val="10"/>
        <rFont val="Calibri"/>
        <family val="2"/>
        <scheme val="minor"/>
      </rPr>
      <t>3</t>
    </r>
  </si>
  <si>
    <r>
      <t>DEPTH</t>
    </r>
    <r>
      <rPr>
        <i/>
        <vertAlign val="subscript"/>
        <sz val="10"/>
        <rFont val="Calibri"/>
        <family val="2"/>
        <scheme val="minor"/>
      </rPr>
      <t>sed</t>
    </r>
    <r>
      <rPr>
        <i/>
        <sz val="10"/>
        <rFont val="Calibri"/>
        <family val="2"/>
        <scheme val="minor"/>
      </rPr>
      <t xml:space="preserve"> (m)</t>
    </r>
  </si>
  <si>
    <r>
      <t>F</t>
    </r>
    <r>
      <rPr>
        <i/>
        <vertAlign val="subscript"/>
        <sz val="10"/>
        <rFont val="Calibri"/>
        <family val="2"/>
        <scheme val="minor"/>
      </rPr>
      <t>soilid</t>
    </r>
    <r>
      <rPr>
        <i/>
        <sz val="10"/>
        <rFont val="Calibri"/>
        <family val="2"/>
        <scheme val="minor"/>
      </rPr>
      <t xml:space="preserve"> (m</t>
    </r>
    <r>
      <rPr>
        <i/>
        <vertAlign val="superscript"/>
        <sz val="10"/>
        <rFont val="Calibri"/>
        <family val="2"/>
        <scheme val="minor"/>
      </rPr>
      <t>3</t>
    </r>
    <r>
      <rPr>
        <i/>
        <sz val="10"/>
        <rFont val="Calibri"/>
        <family val="2"/>
        <scheme val="minor"/>
      </rPr>
      <t>/m</t>
    </r>
    <r>
      <rPr>
        <i/>
        <vertAlign val="superscript"/>
        <sz val="10"/>
        <rFont val="Calibri"/>
        <family val="2"/>
        <scheme val="minor"/>
      </rPr>
      <t>3</t>
    </r>
    <r>
      <rPr>
        <i/>
        <sz val="10"/>
        <rFont val="Calibri"/>
        <family val="2"/>
        <scheme val="minor"/>
      </rPr>
      <t>)</t>
    </r>
  </si>
  <si>
    <r>
      <t>PC</t>
    </r>
    <r>
      <rPr>
        <i/>
        <vertAlign val="subscript"/>
        <sz val="10"/>
        <rFont val="Calibri"/>
        <family val="2"/>
        <scheme val="minor"/>
      </rPr>
      <t>faeces</t>
    </r>
    <r>
      <rPr>
        <i/>
        <sz val="10"/>
        <rFont val="Calibri"/>
        <family val="2"/>
        <scheme val="minor"/>
      </rPr>
      <t xml:space="preserve"> mg/kg C</t>
    </r>
  </si>
  <si>
    <t>Assessment endpoint      (&lt;10 µg/kg)</t>
  </si>
  <si>
    <r>
      <t>PEC</t>
    </r>
    <r>
      <rPr>
        <vertAlign val="subscript"/>
        <sz val="10"/>
        <color theme="0"/>
        <rFont val="Calibri"/>
        <family val="2"/>
        <scheme val="minor"/>
      </rPr>
      <t>sed</t>
    </r>
    <r>
      <rPr>
        <sz val="10"/>
        <color theme="0"/>
        <rFont val="Calibri"/>
        <family val="2"/>
        <scheme val="minor"/>
      </rPr>
      <t xml:space="preserve"> µg/kg</t>
    </r>
  </si>
  <si>
    <r>
      <t>PEC</t>
    </r>
    <r>
      <rPr>
        <vertAlign val="subscript"/>
        <sz val="10"/>
        <color theme="0"/>
        <rFont val="Calibri"/>
        <family val="2"/>
        <scheme val="minor"/>
      </rPr>
      <t>swaq</t>
    </r>
    <r>
      <rPr>
        <sz val="10"/>
        <color theme="0"/>
        <rFont val="Calibri"/>
        <family val="2"/>
        <scheme val="minor"/>
      </rPr>
      <t xml:space="preserve"> µg/L</t>
    </r>
  </si>
  <si>
    <t>ERA calculation terrestrial - Phase I</t>
  </si>
  <si>
    <t>ERA calculation terrestrial - Phase II</t>
  </si>
  <si>
    <t xml:space="preserve">PEC soil dw (µg/kg) </t>
  </si>
  <si>
    <t xml:space="preserve">Metabolism </t>
  </si>
  <si>
    <t>Multiple appln.</t>
  </si>
  <si>
    <t xml:space="preserve">Accumulation </t>
  </si>
  <si>
    <t>Manure degr.</t>
  </si>
  <si>
    <t>Version 1.1</t>
  </si>
  <si>
    <t>Feed additives Environmental Risk Assessment (FERA) calculation for terrestrial animals. Last update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</si>
</sst>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E+00"/>
    <numFmt numFmtId="167" formatCode="0.000E+00"/>
    <numFmt numFmtId="168" formatCode="##,##0.00"/>
    <numFmt numFmtId="169" formatCode="#,##0.000"/>
  </numFmts>
  <fonts count="30" x14ac:knownFonts="1">
    <font>
      <sz val="10"/>
      <name val="Arial"/>
      <family val="2"/>
    </font>
    <font>
      <sz val="10"/>
      <name val="Times New Roman"/>
      <family val="1"/>
      <charset val="1"/>
    </font>
    <font>
      <sz val="10"/>
      <name val="Arial"/>
      <family val="2"/>
    </font>
    <font>
      <b/>
      <vertAlign val="superscript"/>
      <sz val="10"/>
      <name val="Tahoma"/>
      <family val="2"/>
    </font>
    <font>
      <sz val="10"/>
      <name val="Times New Roman"/>
      <family val="1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name val="Times New Roman"/>
      <family val="1"/>
    </font>
    <font>
      <sz val="9"/>
      <name val="Arial"/>
      <family val="2"/>
    </font>
    <font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9"/>
      <name val="Calibri"/>
      <family val="2"/>
      <scheme val="minor"/>
    </font>
    <font>
      <b/>
      <vertAlign val="subscript"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sz val="9"/>
      <name val="Calibri"/>
      <family val="2"/>
      <scheme val="minor"/>
    </font>
    <font>
      <b/>
      <sz val="20"/>
      <name val="Calibri"/>
      <family val="2"/>
      <scheme val="minor"/>
    </font>
    <font>
      <b/>
      <vertAlign val="superscript"/>
      <sz val="9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vertAlign val="subscript"/>
      <sz val="9"/>
      <name val="Calibri"/>
      <family val="2"/>
      <scheme val="minor"/>
    </font>
    <font>
      <i/>
      <vertAlign val="subscript"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2"/>
      <name val="Calibri"/>
      <family val="2"/>
      <scheme val="minor"/>
    </font>
    <font>
      <vertAlign val="subscript"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43FF98"/>
        <bgColor indexed="64"/>
      </patternFill>
    </fill>
    <fill>
      <patternFill patternType="solid">
        <fgColor rgb="FFFFFF99"/>
        <bgColor indexed="51"/>
      </patternFill>
    </fill>
    <fill>
      <patternFill patternType="solid">
        <fgColor rgb="FFFFFF99"/>
        <bgColor indexed="64"/>
      </patternFill>
    </fill>
    <fill>
      <patternFill patternType="solid">
        <fgColor rgb="FFA5A5A5"/>
      </patternFill>
    </fill>
    <fill>
      <patternFill patternType="solid">
        <fgColor theme="9" tint="0.59999389629810485"/>
        <bgColor indexed="51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2" borderId="0"/>
    <xf numFmtId="0" fontId="1" fillId="0" borderId="0"/>
    <xf numFmtId="9" fontId="2" fillId="0" borderId="0" applyFill="0" applyBorder="0" applyAlignment="0" applyProtection="0"/>
    <xf numFmtId="0" fontId="1" fillId="2" borderId="0"/>
    <xf numFmtId="0" fontId="5" fillId="7" borderId="4" applyNumberFormat="0" applyAlignment="0" applyProtection="0"/>
    <xf numFmtId="0" fontId="6" fillId="0" borderId="0" applyNumberFormat="0" applyFill="0" applyBorder="0" applyAlignment="0" applyProtection="0"/>
  </cellStyleXfs>
  <cellXfs count="137">
    <xf numFmtId="0" fontId="0" fillId="0" borderId="0" xfId="0"/>
    <xf numFmtId="0" fontId="1" fillId="0" borderId="0" xfId="1"/>
    <xf numFmtId="0" fontId="1" fillId="0" borderId="0" xfId="1" applyFill="1"/>
    <xf numFmtId="0" fontId="4" fillId="0" borderId="0" xfId="1" applyFont="1"/>
    <xf numFmtId="0" fontId="4" fillId="0" borderId="0" xfId="1" applyFont="1" applyFill="1"/>
    <xf numFmtId="1" fontId="4" fillId="0" borderId="0" xfId="0" applyNumberFormat="1" applyFont="1" applyFill="1"/>
    <xf numFmtId="165" fontId="4" fillId="0" borderId="0" xfId="0" applyNumberFormat="1" applyFont="1" applyFill="1"/>
    <xf numFmtId="166" fontId="4" fillId="0" borderId="0" xfId="0" applyNumberFormat="1" applyFont="1" applyFill="1"/>
    <xf numFmtId="0" fontId="7" fillId="0" borderId="0" xfId="1" applyFont="1"/>
    <xf numFmtId="0" fontId="2" fillId="0" borderId="0" xfId="1" applyFont="1"/>
    <xf numFmtId="0" fontId="8" fillId="0" borderId="0" xfId="1" applyFont="1"/>
    <xf numFmtId="0" fontId="2" fillId="0" borderId="0" xfId="1" applyFont="1" applyFill="1"/>
    <xf numFmtId="0" fontId="9" fillId="0" borderId="0" xfId="1" applyFont="1"/>
    <xf numFmtId="0" fontId="10" fillId="0" borderId="0" xfId="1" applyFont="1" applyAlignment="1">
      <alignment horizontal="center"/>
    </xf>
    <xf numFmtId="0" fontId="13" fillId="0" borderId="0" xfId="1" applyFont="1" applyFill="1" applyAlignment="1">
      <alignment vertical="center"/>
    </xf>
    <xf numFmtId="0" fontId="9" fillId="0" borderId="0" xfId="1" applyFont="1" applyFill="1"/>
    <xf numFmtId="0" fontId="17" fillId="0" borderId="0" xfId="1" applyFont="1"/>
    <xf numFmtId="0" fontId="14" fillId="0" borderId="0" xfId="1" applyFont="1" applyAlignment="1"/>
    <xf numFmtId="2" fontId="9" fillId="0" borderId="0" xfId="1" applyNumberFormat="1" applyFont="1" applyFill="1"/>
    <xf numFmtId="167" fontId="9" fillId="0" borderId="0" xfId="1" applyNumberFormat="1" applyFont="1" applyFill="1"/>
    <xf numFmtId="165" fontId="9" fillId="0" borderId="0" xfId="1" applyNumberFormat="1" applyFont="1" applyFill="1"/>
    <xf numFmtId="164" fontId="9" fillId="0" borderId="0" xfId="1" applyNumberFormat="1" applyFont="1" applyFill="1"/>
    <xf numFmtId="0" fontId="9" fillId="0" borderId="0" xfId="3" applyFont="1" applyFill="1"/>
    <xf numFmtId="1" fontId="9" fillId="0" borderId="0" xfId="1" applyNumberFormat="1" applyFont="1" applyFill="1"/>
    <xf numFmtId="0" fontId="9" fillId="0" borderId="0" xfId="0" applyFont="1" applyFill="1"/>
    <xf numFmtId="0" fontId="14" fillId="0" borderId="0" xfId="1" applyFont="1" applyBorder="1" applyAlignment="1">
      <alignment horizontal="right"/>
    </xf>
    <xf numFmtId="0" fontId="9" fillId="0" borderId="0" xfId="1" applyFont="1" applyBorder="1" applyAlignment="1">
      <alignment horizontal="right"/>
    </xf>
    <xf numFmtId="0" fontId="25" fillId="3" borderId="7" xfId="7" applyFont="1" applyFill="1" applyBorder="1"/>
    <xf numFmtId="1" fontId="9" fillId="0" borderId="7" xfId="0" applyNumberFormat="1" applyFont="1" applyFill="1" applyBorder="1"/>
    <xf numFmtId="0" fontId="25" fillId="0" borderId="6" xfId="7" applyFont="1" applyFill="1" applyBorder="1"/>
    <xf numFmtId="0" fontId="25" fillId="0" borderId="7" xfId="7" applyFont="1" applyFill="1" applyBorder="1"/>
    <xf numFmtId="0" fontId="25" fillId="0" borderId="5" xfId="7" applyFont="1" applyFill="1" applyBorder="1"/>
    <xf numFmtId="0" fontId="8" fillId="0" borderId="0" xfId="1" applyFont="1" applyAlignment="1">
      <alignment wrapText="1"/>
    </xf>
    <xf numFmtId="0" fontId="27" fillId="0" borderId="1" xfId="1" applyFont="1" applyBorder="1" applyAlignment="1">
      <alignment horizontal="center"/>
    </xf>
    <xf numFmtId="0" fontId="25" fillId="0" borderId="6" xfId="7" applyFont="1" applyFill="1" applyBorder="1" applyAlignment="1">
      <alignment wrapText="1"/>
    </xf>
    <xf numFmtId="0" fontId="21" fillId="0" borderId="11" xfId="1" applyFont="1" applyFill="1" applyBorder="1"/>
    <xf numFmtId="0" fontId="9" fillId="0" borderId="11" xfId="1" applyFont="1" applyBorder="1"/>
    <xf numFmtId="0" fontId="11" fillId="0" borderId="11" xfId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right" vertical="top" wrapText="1"/>
    </xf>
    <xf numFmtId="0" fontId="14" fillId="0" borderId="3" xfId="1" applyFont="1" applyBorder="1" applyAlignment="1">
      <alignment horizontal="right" wrapText="1"/>
    </xf>
    <xf numFmtId="0" fontId="9" fillId="8" borderId="6" xfId="3" applyFont="1" applyFill="1" applyBorder="1"/>
    <xf numFmtId="0" fontId="9" fillId="8" borderId="6" xfId="1" applyFont="1" applyFill="1" applyBorder="1"/>
    <xf numFmtId="0" fontId="14" fillId="5" borderId="11" xfId="1" applyFont="1" applyFill="1" applyBorder="1" applyAlignment="1">
      <alignment horizontal="left" vertical="top"/>
    </xf>
    <xf numFmtId="2" fontId="9" fillId="5" borderId="11" xfId="1" applyNumberFormat="1" applyFont="1" applyFill="1" applyBorder="1" applyAlignment="1">
      <alignment horizontal="left" vertical="top"/>
    </xf>
    <xf numFmtId="0" fontId="10" fillId="0" borderId="0" xfId="1" applyFont="1" applyAlignment="1">
      <alignment horizontal="left" vertical="top"/>
    </xf>
    <xf numFmtId="167" fontId="9" fillId="5" borderId="11" xfId="1" applyNumberFormat="1" applyFont="1" applyFill="1" applyBorder="1" applyAlignment="1">
      <alignment horizontal="left" vertical="top"/>
    </xf>
    <xf numFmtId="0" fontId="9" fillId="0" borderId="0" xfId="1" applyFont="1" applyAlignment="1">
      <alignment horizontal="left" vertical="top"/>
    </xf>
    <xf numFmtId="165" fontId="9" fillId="5" borderId="11" xfId="1" applyNumberFormat="1" applyFont="1" applyFill="1" applyBorder="1" applyAlignment="1">
      <alignment horizontal="left" vertical="top"/>
    </xf>
    <xf numFmtId="164" fontId="9" fillId="5" borderId="11" xfId="1" applyNumberFormat="1" applyFont="1" applyFill="1" applyBorder="1" applyAlignment="1">
      <alignment horizontal="left" vertical="top"/>
    </xf>
    <xf numFmtId="1" fontId="9" fillId="5" borderId="11" xfId="1" applyNumberFormat="1" applyFont="1" applyFill="1" applyBorder="1" applyAlignment="1">
      <alignment horizontal="left" vertical="top"/>
    </xf>
    <xf numFmtId="0" fontId="9" fillId="8" borderId="11" xfId="1" applyFont="1" applyFill="1" applyBorder="1" applyAlignment="1">
      <alignment vertical="top"/>
    </xf>
    <xf numFmtId="0" fontId="11" fillId="8" borderId="11" xfId="1" applyFont="1" applyFill="1" applyBorder="1" applyAlignment="1">
      <alignment horizontal="left" vertical="top"/>
    </xf>
    <xf numFmtId="0" fontId="17" fillId="0" borderId="11" xfId="1" applyFont="1" applyBorder="1" applyAlignment="1">
      <alignment vertical="top"/>
    </xf>
    <xf numFmtId="0" fontId="11" fillId="0" borderId="11" xfId="1" applyFont="1" applyBorder="1" applyAlignment="1">
      <alignment horizontal="center" vertical="top" wrapText="1"/>
    </xf>
    <xf numFmtId="0" fontId="11" fillId="5" borderId="6" xfId="1" applyFont="1" applyFill="1" applyBorder="1" applyAlignment="1">
      <alignment vertical="top"/>
    </xf>
    <xf numFmtId="0" fontId="17" fillId="8" borderId="6" xfId="1" applyFont="1" applyFill="1" applyBorder="1" applyAlignment="1">
      <alignment vertical="top"/>
    </xf>
    <xf numFmtId="0" fontId="9" fillId="8" borderId="6" xfId="3" applyFont="1" applyFill="1" applyBorder="1" applyAlignment="1">
      <alignment vertical="top"/>
    </xf>
    <xf numFmtId="0" fontId="9" fillId="8" borderId="6" xfId="1" applyFont="1" applyFill="1" applyBorder="1" applyAlignment="1">
      <alignment vertical="top"/>
    </xf>
    <xf numFmtId="0" fontId="13" fillId="0" borderId="0" xfId="1" applyFont="1" applyFill="1" applyAlignment="1">
      <alignment vertical="top"/>
    </xf>
    <xf numFmtId="0" fontId="10" fillId="0" borderId="0" xfId="1" applyFont="1" applyAlignment="1">
      <alignment vertical="top"/>
    </xf>
    <xf numFmtId="0" fontId="21" fillId="0" borderId="0" xfId="1" applyFont="1" applyFill="1" applyBorder="1"/>
    <xf numFmtId="0" fontId="2" fillId="0" borderId="0" xfId="1" applyFont="1" applyFill="1" applyBorder="1" applyAlignment="1">
      <alignment horizontal="center" vertical="center" textRotation="180" wrapText="1"/>
    </xf>
    <xf numFmtId="0" fontId="9" fillId="0" borderId="0" xfId="1" applyFont="1" applyBorder="1"/>
    <xf numFmtId="0" fontId="27" fillId="0" borderId="7" xfId="1" applyFont="1" applyBorder="1" applyAlignment="1">
      <alignment horizontal="center"/>
    </xf>
    <xf numFmtId="0" fontId="2" fillId="0" borderId="2" xfId="1" applyFont="1" applyBorder="1"/>
    <xf numFmtId="0" fontId="9" fillId="0" borderId="0" xfId="0" applyFont="1"/>
    <xf numFmtId="0" fontId="27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27" fillId="0" borderId="0" xfId="1" applyFont="1" applyBorder="1" applyAlignment="1">
      <alignment horizontal="right"/>
    </xf>
    <xf numFmtId="0" fontId="27" fillId="0" borderId="0" xfId="1" applyFont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4" fillId="0" borderId="15" xfId="1" applyFont="1" applyBorder="1" applyAlignment="1">
      <alignment horizontal="right" vertical="top" wrapText="1"/>
    </xf>
    <xf numFmtId="0" fontId="14" fillId="5" borderId="11" xfId="1" applyFont="1" applyFill="1" applyBorder="1"/>
    <xf numFmtId="0" fontId="21" fillId="0" borderId="11" xfId="1" applyFont="1" applyBorder="1"/>
    <xf numFmtId="0" fontId="26" fillId="7" borderId="11" xfId="6" applyFont="1" applyBorder="1" applyAlignment="1">
      <alignment vertical="center"/>
    </xf>
    <xf numFmtId="1" fontId="9" fillId="0" borderId="11" xfId="0" applyNumberFormat="1" applyFont="1" applyFill="1" applyBorder="1" applyAlignment="1">
      <alignment vertical="center"/>
    </xf>
    <xf numFmtId="0" fontId="14" fillId="0" borderId="0" xfId="1" applyFont="1" applyBorder="1" applyAlignment="1">
      <alignment horizontal="right" vertical="center" wrapText="1"/>
    </xf>
    <xf numFmtId="0" fontId="14" fillId="0" borderId="11" xfId="1" applyFont="1" applyBorder="1"/>
    <xf numFmtId="0" fontId="14" fillId="0" borderId="11" xfId="1" applyFont="1" applyBorder="1" applyAlignment="1">
      <alignment horizontal="center" vertical="center" wrapText="1"/>
    </xf>
    <xf numFmtId="0" fontId="26" fillId="7" borderId="11" xfId="6" applyFont="1" applyBorder="1"/>
    <xf numFmtId="165" fontId="9" fillId="0" borderId="11" xfId="0" applyNumberFormat="1" applyFont="1" applyFill="1" applyBorder="1"/>
    <xf numFmtId="0" fontId="9" fillId="9" borderId="11" xfId="1" applyFont="1" applyFill="1" applyBorder="1"/>
    <xf numFmtId="2" fontId="9" fillId="0" borderId="9" xfId="0" applyNumberFormat="1" applyFont="1" applyFill="1" applyBorder="1"/>
    <xf numFmtId="2" fontId="9" fillId="0" borderId="10" xfId="0" applyNumberFormat="1" applyFont="1" applyFill="1" applyBorder="1"/>
    <xf numFmtId="0" fontId="27" fillId="0" borderId="0" xfId="1" applyFont="1" applyFill="1" applyAlignment="1">
      <alignment vertical="top"/>
    </xf>
    <xf numFmtId="0" fontId="14" fillId="6" borderId="12" xfId="1" applyFont="1" applyFill="1" applyBorder="1" applyAlignment="1">
      <alignment horizontal="left" vertical="top"/>
    </xf>
    <xf numFmtId="0" fontId="14" fillId="6" borderId="13" xfId="1" applyFont="1" applyFill="1" applyBorder="1" applyAlignment="1">
      <alignment horizontal="left" vertical="top"/>
    </xf>
    <xf numFmtId="0" fontId="9" fillId="8" borderId="6" xfId="3" applyNumberFormat="1" applyFont="1" applyFill="1" applyBorder="1" applyAlignment="1">
      <alignment vertical="top"/>
    </xf>
    <xf numFmtId="0" fontId="9" fillId="8" borderId="6" xfId="1" applyNumberFormat="1" applyFont="1" applyFill="1" applyBorder="1" applyAlignment="1">
      <alignment vertical="top"/>
    </xf>
    <xf numFmtId="0" fontId="9" fillId="8" borderId="6" xfId="3" applyNumberFormat="1" applyFont="1" applyFill="1" applyBorder="1"/>
    <xf numFmtId="0" fontId="9" fillId="8" borderId="6" xfId="1" applyNumberFormat="1" applyFont="1" applyFill="1" applyBorder="1"/>
    <xf numFmtId="0" fontId="21" fillId="0" borderId="17" xfId="1" applyFont="1" applyFill="1" applyBorder="1"/>
    <xf numFmtId="0" fontId="21" fillId="0" borderId="18" xfId="1" applyFont="1" applyFill="1" applyBorder="1"/>
    <xf numFmtId="0" fontId="21" fillId="0" borderId="20" xfId="1" applyFont="1" applyFill="1" applyBorder="1"/>
    <xf numFmtId="0" fontId="21" fillId="0" borderId="22" xfId="1" applyFont="1" applyFill="1" applyBorder="1"/>
    <xf numFmtId="0" fontId="21" fillId="0" borderId="23" xfId="1" applyFont="1" applyFill="1" applyBorder="1"/>
    <xf numFmtId="0" fontId="26" fillId="7" borderId="16" xfId="6" applyFont="1" applyBorder="1"/>
    <xf numFmtId="2" fontId="9" fillId="0" borderId="8" xfId="0" applyNumberFormat="1" applyFont="1" applyFill="1" applyBorder="1"/>
    <xf numFmtId="168" fontId="9" fillId="0" borderId="6" xfId="0" applyNumberFormat="1" applyFont="1" applyFill="1" applyBorder="1"/>
    <xf numFmtId="169" fontId="9" fillId="0" borderId="7" xfId="0" applyNumberFormat="1" applyFont="1" applyFill="1" applyBorder="1"/>
    <xf numFmtId="169" fontId="9" fillId="0" borderId="6" xfId="0" applyNumberFormat="1" applyFont="1" applyFill="1" applyBorder="1"/>
    <xf numFmtId="169" fontId="9" fillId="0" borderId="6" xfId="1" applyNumberFormat="1" applyFont="1" applyFill="1" applyBorder="1"/>
    <xf numFmtId="169" fontId="9" fillId="0" borderId="7" xfId="1" applyNumberFormat="1" applyFont="1" applyBorder="1"/>
    <xf numFmtId="169" fontId="9" fillId="0" borderId="6" xfId="1" applyNumberFormat="1" applyFont="1" applyBorder="1"/>
    <xf numFmtId="169" fontId="9" fillId="0" borderId="5" xfId="0" applyNumberFormat="1" applyFont="1" applyFill="1" applyBorder="1"/>
    <xf numFmtId="2" fontId="9" fillId="5" borderId="11" xfId="1" applyNumberFormat="1" applyFont="1" applyFill="1" applyBorder="1" applyAlignment="1" applyProtection="1">
      <alignment horizontal="left" vertical="top"/>
      <protection locked="0"/>
    </xf>
    <xf numFmtId="167" fontId="9" fillId="5" borderId="11" xfId="1" applyNumberFormat="1" applyFont="1" applyFill="1" applyBorder="1" applyAlignment="1" applyProtection="1">
      <alignment horizontal="left" vertical="top"/>
      <protection locked="0"/>
    </xf>
    <xf numFmtId="165" fontId="9" fillId="5" borderId="11" xfId="1" applyNumberFormat="1" applyFont="1" applyFill="1" applyBorder="1" applyAlignment="1" applyProtection="1">
      <alignment horizontal="left" vertical="top"/>
      <protection locked="0"/>
    </xf>
    <xf numFmtId="164" fontId="9" fillId="5" borderId="11" xfId="1" applyNumberFormat="1" applyFont="1" applyFill="1" applyBorder="1" applyAlignment="1" applyProtection="1">
      <alignment horizontal="left" vertical="top"/>
      <protection locked="0"/>
    </xf>
    <xf numFmtId="1" fontId="9" fillId="5" borderId="11" xfId="1" applyNumberFormat="1" applyFont="1" applyFill="1" applyBorder="1" applyAlignment="1" applyProtection="1">
      <alignment horizontal="left" vertical="top"/>
      <protection locked="0"/>
    </xf>
    <xf numFmtId="0" fontId="9" fillId="6" borderId="11" xfId="1" applyFont="1" applyFill="1" applyBorder="1" applyProtection="1">
      <protection locked="0"/>
    </xf>
    <xf numFmtId="0" fontId="9" fillId="5" borderId="6" xfId="1" applyNumberFormat="1" applyFont="1" applyFill="1" applyBorder="1" applyAlignment="1" applyProtection="1">
      <alignment vertical="top"/>
      <protection locked="0"/>
    </xf>
    <xf numFmtId="0" fontId="9" fillId="6" borderId="11" xfId="1" applyFont="1" applyFill="1" applyBorder="1" applyAlignment="1" applyProtection="1">
      <alignment horizontal="left" vertical="top"/>
      <protection locked="0"/>
    </xf>
    <xf numFmtId="1" fontId="9" fillId="5" borderId="6" xfId="1" applyNumberFormat="1" applyFont="1" applyFill="1" applyBorder="1" applyAlignment="1" applyProtection="1">
      <alignment vertical="top"/>
      <protection locked="0"/>
    </xf>
    <xf numFmtId="1" fontId="9" fillId="5" borderId="6" xfId="1" applyNumberFormat="1" applyFont="1" applyFill="1" applyBorder="1" applyProtection="1">
      <protection locked="0"/>
    </xf>
    <xf numFmtId="0" fontId="14" fillId="5" borderId="11" xfId="1" applyFont="1" applyFill="1" applyBorder="1" applyProtection="1">
      <protection locked="0"/>
    </xf>
    <xf numFmtId="0" fontId="14" fillId="0" borderId="0" xfId="1" applyFont="1"/>
    <xf numFmtId="0" fontId="2" fillId="0" borderId="19" xfId="1" applyFont="1" applyFill="1" applyBorder="1" applyAlignment="1">
      <alignment horizontal="center" vertical="center" textRotation="180"/>
    </xf>
    <xf numFmtId="0" fontId="2" fillId="0" borderId="21" xfId="1" applyFont="1" applyFill="1" applyBorder="1" applyAlignment="1">
      <alignment horizontal="center" vertical="center" textRotation="180"/>
    </xf>
    <xf numFmtId="0" fontId="2" fillId="0" borderId="24" xfId="1" applyFont="1" applyFill="1" applyBorder="1" applyAlignment="1">
      <alignment horizontal="center" vertical="center" textRotation="180"/>
    </xf>
    <xf numFmtId="0" fontId="2" fillId="0" borderId="19" xfId="1" applyFont="1" applyFill="1" applyBorder="1" applyAlignment="1">
      <alignment horizontal="center" vertical="center" textRotation="180" wrapText="1"/>
    </xf>
    <xf numFmtId="0" fontId="2" fillId="0" borderId="21" xfId="1" applyFont="1" applyFill="1" applyBorder="1" applyAlignment="1">
      <alignment horizontal="center" vertical="center" textRotation="180" wrapText="1"/>
    </xf>
    <xf numFmtId="0" fontId="2" fillId="0" borderId="24" xfId="1" applyFont="1" applyFill="1" applyBorder="1" applyAlignment="1">
      <alignment horizontal="center" vertical="center" textRotation="180" wrapText="1"/>
    </xf>
    <xf numFmtId="0" fontId="9" fillId="4" borderId="12" xfId="1" applyFont="1" applyFill="1" applyBorder="1" applyAlignment="1">
      <alignment horizontal="left" vertical="top"/>
    </xf>
    <xf numFmtId="0" fontId="9" fillId="4" borderId="13" xfId="1" applyFont="1" applyFill="1" applyBorder="1" applyAlignment="1">
      <alignment horizontal="left" vertical="top"/>
    </xf>
    <xf numFmtId="0" fontId="27" fillId="0" borderId="0" xfId="1" applyFont="1" applyAlignment="1">
      <alignment vertical="top"/>
    </xf>
    <xf numFmtId="0" fontId="18" fillId="0" borderId="0" xfId="1" applyFont="1" applyAlignment="1">
      <alignment horizontal="left"/>
    </xf>
    <xf numFmtId="0" fontId="20" fillId="0" borderId="25" xfId="1" applyFont="1" applyBorder="1" applyAlignment="1">
      <alignment horizontal="center" vertical="center"/>
    </xf>
    <xf numFmtId="0" fontId="20" fillId="0" borderId="26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 vertical="center"/>
    </xf>
    <xf numFmtId="0" fontId="27" fillId="0" borderId="0" xfId="1" applyFont="1" applyFill="1" applyAlignment="1">
      <alignment vertical="top"/>
    </xf>
    <xf numFmtId="0" fontId="14" fillId="6" borderId="11" xfId="1" applyFont="1" applyFill="1" applyBorder="1" applyAlignment="1">
      <alignment horizontal="left" vertical="top"/>
    </xf>
    <xf numFmtId="0" fontId="14" fillId="6" borderId="12" xfId="1" applyFont="1" applyFill="1" applyBorder="1" applyAlignment="1">
      <alignment horizontal="left" vertical="top"/>
    </xf>
    <xf numFmtId="0" fontId="14" fillId="6" borderId="13" xfId="1" applyFont="1" applyFill="1" applyBorder="1" applyAlignment="1">
      <alignment horizontal="left" vertical="top"/>
    </xf>
    <xf numFmtId="0" fontId="18" fillId="0" borderId="0" xfId="1" applyFont="1" applyAlignment="1">
      <alignment horizontal="left" vertical="center"/>
    </xf>
    <xf numFmtId="0" fontId="13" fillId="0" borderId="0" xfId="1" applyFont="1" applyAlignment="1">
      <alignment horizontal="center"/>
    </xf>
  </cellXfs>
  <cellStyles count="8">
    <cellStyle name="Check Cell" xfId="6" builtinId="23"/>
    <cellStyle name="Excel Built-in Normal" xfId="1" xr:uid="{00000000-0005-0000-0000-000001000000}"/>
    <cellStyle name="Explanatory Text" xfId="7" builtinId="53"/>
    <cellStyle name="naamloos1" xfId="2" xr:uid="{00000000-0005-0000-0000-000002000000}"/>
    <cellStyle name="Normal" xfId="0" builtinId="0"/>
    <cellStyle name="Normal_201209241545SentPEC berekeningen FEEDAP" xfId="3" xr:uid="{00000000-0005-0000-0000-000003000000}"/>
    <cellStyle name="Percent 2" xfId="4" xr:uid="{00000000-0005-0000-0000-000005000000}"/>
    <cellStyle name="YellowAbove0.1" xfId="5" xr:uid="{00000000-0005-0000-0000-000007000000}"/>
  </cellStyles>
  <dxfs count="12"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mruColors>
      <color rgb="FFFFFF99"/>
      <color rgb="FF43FF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1750202</xdr:colOff>
      <xdr:row>5</xdr:row>
      <xdr:rowOff>33776</xdr:rowOff>
    </xdr:to>
    <xdr:pic>
      <xdr:nvPicPr>
        <xdr:cNvPr id="3" name="Graphic 2">
          <a:extLst>
            <a:ext uri="{FF2B5EF4-FFF2-40B4-BE49-F238E27FC236}">
              <a16:creationId xmlns:a16="http://schemas.microsoft.com/office/drawing/2014/main" id="{E3317934-7030-4912-841E-D2CA2D17E7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199282"/>
          <a:ext cx="1750202" cy="830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71"/>
  <sheetViews>
    <sheetView tabSelected="1" zoomScale="76" zoomScaleNormal="70" workbookViewId="0">
      <selection activeCell="C2" sqref="C2"/>
    </sheetView>
  </sheetViews>
  <sheetFormatPr defaultColWidth="7.85546875" defaultRowHeight="12.75" x14ac:dyDescent="0.2"/>
  <cols>
    <col min="1" max="1" width="24.7109375" style="1" customWidth="1"/>
    <col min="2" max="2" width="27.7109375" style="8" customWidth="1"/>
    <col min="3" max="3" width="9.7109375" style="1" customWidth="1"/>
    <col min="4" max="15" width="8.7109375" style="1" customWidth="1"/>
    <col min="16" max="16" width="8.7109375" style="2" customWidth="1"/>
    <col min="17" max="19" width="8.7109375" style="1" customWidth="1"/>
    <col min="20" max="20" width="2.5703125" style="2" customWidth="1"/>
    <col min="21" max="21" width="2.5703125" style="1" customWidth="1"/>
    <col min="22" max="22" width="18.42578125" style="1" customWidth="1"/>
    <col min="23" max="23" width="11.7109375" style="1" customWidth="1"/>
    <col min="24" max="16384" width="7.85546875" style="1"/>
  </cols>
  <sheetData>
    <row r="1" spans="1:24" ht="15.75" customHeight="1" x14ac:dyDescent="0.35">
      <c r="A1" s="117" t="s">
        <v>113</v>
      </c>
      <c r="B1" s="126" t="s">
        <v>40</v>
      </c>
      <c r="C1" s="126"/>
      <c r="D1" s="59"/>
      <c r="E1" s="85" t="s">
        <v>45</v>
      </c>
      <c r="F1" s="58"/>
      <c r="G1" s="14"/>
      <c r="H1" s="13"/>
      <c r="I1" s="13"/>
      <c r="J1" s="59"/>
      <c r="O1" s="13"/>
      <c r="P1" s="13"/>
      <c r="Q1" s="13"/>
      <c r="R1" s="13"/>
      <c r="S1" s="13"/>
      <c r="T1" s="15"/>
      <c r="U1" s="12"/>
      <c r="V1" s="12"/>
      <c r="W1" s="12"/>
      <c r="X1" s="9"/>
    </row>
    <row r="2" spans="1:24" ht="15.75" customHeight="1" x14ac:dyDescent="0.35">
      <c r="A2" s="12"/>
      <c r="B2" s="42" t="s">
        <v>0</v>
      </c>
      <c r="C2" s="106">
        <v>257</v>
      </c>
      <c r="D2" s="44"/>
      <c r="E2" s="86" t="s">
        <v>47</v>
      </c>
      <c r="F2" s="87"/>
      <c r="G2" s="111">
        <v>500</v>
      </c>
      <c r="H2" s="13"/>
      <c r="I2" s="13"/>
      <c r="J2" s="13"/>
      <c r="O2" s="13"/>
      <c r="P2" s="13"/>
      <c r="Q2" s="13"/>
      <c r="R2" s="13"/>
      <c r="S2" s="13"/>
      <c r="T2" s="15"/>
      <c r="U2" s="12"/>
      <c r="V2" s="12"/>
      <c r="W2" s="12"/>
      <c r="X2" s="9"/>
    </row>
    <row r="3" spans="1:24" ht="15.75" customHeight="1" x14ac:dyDescent="0.35">
      <c r="A3" s="12"/>
      <c r="B3" s="42" t="s">
        <v>41</v>
      </c>
      <c r="C3" s="107">
        <f>10^-9</f>
        <v>1.0000000000000001E-9</v>
      </c>
      <c r="D3" s="46"/>
      <c r="E3" s="124" t="s">
        <v>55</v>
      </c>
      <c r="F3" s="125"/>
      <c r="G3" s="36">
        <f>($W$24+($W$26*$W$27*$C$5/1000*$W$22))/$W$23*G2*1000*$W$23/($W$26*$W$22)</f>
        <v>31800.000000000007</v>
      </c>
      <c r="H3" s="13"/>
      <c r="I3" s="13"/>
      <c r="J3" s="12"/>
      <c r="O3" s="12"/>
      <c r="P3" s="12"/>
      <c r="Q3" s="12"/>
      <c r="R3" s="12"/>
      <c r="S3" s="12"/>
      <c r="T3" s="15"/>
      <c r="U3" s="12"/>
      <c r="V3" s="12"/>
      <c r="W3" s="12"/>
      <c r="X3" s="9"/>
    </row>
    <row r="4" spans="1:24" ht="15.75" customHeight="1" x14ac:dyDescent="0.35">
      <c r="A4" s="12"/>
      <c r="B4" s="42" t="s">
        <v>1</v>
      </c>
      <c r="C4" s="108">
        <v>150</v>
      </c>
      <c r="D4" s="46"/>
      <c r="H4" s="12"/>
      <c r="I4" s="13"/>
      <c r="J4" s="12"/>
      <c r="K4" s="12"/>
      <c r="L4" s="12"/>
      <c r="M4" s="12"/>
      <c r="N4" s="12"/>
      <c r="O4" s="12"/>
      <c r="P4" s="12"/>
      <c r="Q4" s="12"/>
      <c r="R4" s="12"/>
      <c r="S4" s="12"/>
      <c r="T4" s="15"/>
      <c r="U4" s="12"/>
      <c r="V4" s="12"/>
      <c r="W4" s="12"/>
      <c r="X4" s="9"/>
    </row>
    <row r="5" spans="1:24" ht="15.75" customHeight="1" x14ac:dyDescent="0.35">
      <c r="A5" s="12"/>
      <c r="B5" s="42" t="s">
        <v>42</v>
      </c>
      <c r="C5" s="109">
        <v>600</v>
      </c>
      <c r="D5" s="46"/>
      <c r="E5" s="13"/>
      <c r="F5" s="13"/>
      <c r="G5" s="13"/>
      <c r="H5" s="13"/>
      <c r="I5" s="13"/>
      <c r="J5" s="12"/>
      <c r="K5" s="12"/>
      <c r="L5" s="12"/>
      <c r="M5" s="12"/>
      <c r="N5" s="12"/>
      <c r="O5" s="12"/>
      <c r="P5" s="12"/>
      <c r="Q5" s="12"/>
      <c r="R5" s="12"/>
      <c r="S5" s="12"/>
      <c r="T5" s="15"/>
      <c r="U5" s="12"/>
      <c r="V5" s="12"/>
      <c r="W5" s="12"/>
      <c r="X5" s="9"/>
    </row>
    <row r="6" spans="1:24" ht="15.75" customHeight="1" x14ac:dyDescent="0.35">
      <c r="A6" s="12"/>
      <c r="B6" s="42" t="s">
        <v>83</v>
      </c>
      <c r="C6" s="110">
        <v>23.7</v>
      </c>
      <c r="D6" s="46"/>
      <c r="E6" s="13"/>
      <c r="F6" s="13"/>
      <c r="G6" s="13"/>
      <c r="H6" s="13"/>
      <c r="I6" s="13"/>
      <c r="J6" s="12"/>
      <c r="K6" s="12"/>
      <c r="L6" s="12"/>
      <c r="M6" s="12"/>
      <c r="N6" s="12"/>
      <c r="O6" s="12"/>
      <c r="P6" s="12"/>
      <c r="Q6" s="12"/>
      <c r="R6" s="12"/>
      <c r="S6" s="12"/>
      <c r="T6" s="15"/>
      <c r="U6" s="12"/>
      <c r="V6" s="12"/>
      <c r="W6" s="12"/>
      <c r="X6" s="9"/>
    </row>
    <row r="7" spans="1:24" ht="32.65" customHeight="1" x14ac:dyDescent="0.4">
      <c r="A7" s="12"/>
      <c r="B7" s="127" t="s">
        <v>114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5"/>
      <c r="U7" s="12"/>
      <c r="V7" s="12"/>
      <c r="W7" s="12"/>
      <c r="X7" s="9"/>
    </row>
    <row r="8" spans="1:24" ht="26.25" customHeight="1" x14ac:dyDescent="0.4">
      <c r="A8" s="12"/>
      <c r="B8" s="127" t="s">
        <v>106</v>
      </c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5"/>
      <c r="U8" s="12"/>
      <c r="V8" s="12"/>
      <c r="W8" s="12"/>
      <c r="X8" s="9"/>
    </row>
    <row r="9" spans="1:24" ht="12.75" customHeight="1" x14ac:dyDescent="0.35">
      <c r="A9" s="12"/>
      <c r="B9" s="51" t="s">
        <v>59</v>
      </c>
      <c r="C9" s="50">
        <v>0.05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5"/>
      <c r="U9" s="12"/>
      <c r="V9" s="12"/>
      <c r="W9" s="12"/>
      <c r="X9" s="9"/>
    </row>
    <row r="10" spans="1:24" ht="12.75" customHeight="1" thickBot="1" x14ac:dyDescent="0.4">
      <c r="A10" s="12"/>
      <c r="B10" s="51" t="s">
        <v>20</v>
      </c>
      <c r="C10" s="50">
        <v>0.2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5"/>
      <c r="U10" s="12"/>
      <c r="V10" s="12"/>
      <c r="W10" s="12"/>
      <c r="X10" s="9"/>
    </row>
    <row r="11" spans="1:24" s="3" customFormat="1" ht="24.75" customHeight="1" thickBot="1" x14ac:dyDescent="0.25">
      <c r="A11" s="12"/>
      <c r="B11" s="52"/>
      <c r="C11" s="53" t="s">
        <v>6</v>
      </c>
      <c r="D11" s="53" t="s">
        <v>7</v>
      </c>
      <c r="E11" s="53" t="s">
        <v>8</v>
      </c>
      <c r="F11" s="53" t="s">
        <v>9</v>
      </c>
      <c r="G11" s="53" t="s">
        <v>10</v>
      </c>
      <c r="H11" s="53" t="s">
        <v>60</v>
      </c>
      <c r="I11" s="53" t="s">
        <v>11</v>
      </c>
      <c r="J11" s="53" t="s">
        <v>12</v>
      </c>
      <c r="K11" s="53" t="s">
        <v>13</v>
      </c>
      <c r="L11" s="53" t="s">
        <v>14</v>
      </c>
      <c r="M11" s="53" t="s">
        <v>15</v>
      </c>
      <c r="N11" s="53" t="s">
        <v>16</v>
      </c>
      <c r="O11" s="37" t="s">
        <v>27</v>
      </c>
      <c r="P11" s="37" t="s">
        <v>28</v>
      </c>
      <c r="Q11" s="37" t="s">
        <v>17</v>
      </c>
      <c r="R11" s="37" t="s">
        <v>29</v>
      </c>
      <c r="S11" s="37" t="s">
        <v>18</v>
      </c>
      <c r="T11" s="18"/>
      <c r="U11" s="12"/>
      <c r="V11" s="128" t="s">
        <v>48</v>
      </c>
      <c r="W11" s="129"/>
      <c r="X11" s="130"/>
    </row>
    <row r="12" spans="1:24" s="4" customFormat="1" ht="12.75" customHeight="1" x14ac:dyDescent="0.2">
      <c r="A12" s="15"/>
      <c r="B12" s="54" t="s">
        <v>19</v>
      </c>
      <c r="C12" s="112">
        <v>1</v>
      </c>
      <c r="D12" s="112">
        <v>1</v>
      </c>
      <c r="E12" s="112">
        <v>1</v>
      </c>
      <c r="F12" s="112">
        <v>1</v>
      </c>
      <c r="G12" s="112">
        <v>1</v>
      </c>
      <c r="H12" s="112">
        <v>1</v>
      </c>
      <c r="I12" s="112">
        <v>1</v>
      </c>
      <c r="J12" s="112">
        <v>1</v>
      </c>
      <c r="K12" s="112">
        <v>1</v>
      </c>
      <c r="L12" s="112">
        <v>1</v>
      </c>
      <c r="M12" s="112">
        <v>1</v>
      </c>
      <c r="N12" s="112">
        <v>1</v>
      </c>
      <c r="O12" s="112">
        <v>1</v>
      </c>
      <c r="P12" s="112">
        <v>1</v>
      </c>
      <c r="Q12" s="112">
        <v>1</v>
      </c>
      <c r="R12" s="112">
        <v>1</v>
      </c>
      <c r="S12" s="112">
        <v>1</v>
      </c>
      <c r="T12" s="18"/>
      <c r="U12" s="15"/>
      <c r="V12" s="92" t="s">
        <v>4</v>
      </c>
      <c r="W12" s="93">
        <v>170</v>
      </c>
      <c r="X12" s="118" t="s">
        <v>80</v>
      </c>
    </row>
    <row r="13" spans="1:24" s="3" customFormat="1" ht="15" x14ac:dyDescent="0.2">
      <c r="A13" s="12"/>
      <c r="B13" s="55" t="s">
        <v>62</v>
      </c>
      <c r="C13" s="88">
        <v>296</v>
      </c>
      <c r="D13" s="89">
        <v>800</v>
      </c>
      <c r="E13" s="88">
        <v>1140</v>
      </c>
      <c r="F13" s="88">
        <v>4050</v>
      </c>
      <c r="G13" s="88">
        <v>730</v>
      </c>
      <c r="H13" s="88">
        <v>6584</v>
      </c>
      <c r="I13" s="88">
        <v>273</v>
      </c>
      <c r="J13" s="88">
        <v>267</v>
      </c>
      <c r="K13" s="88">
        <v>607</v>
      </c>
      <c r="L13" s="88">
        <v>580</v>
      </c>
      <c r="M13" s="88">
        <v>714</v>
      </c>
      <c r="N13" s="88">
        <v>22</v>
      </c>
      <c r="O13" s="90">
        <v>42</v>
      </c>
      <c r="P13" s="90">
        <v>70</v>
      </c>
      <c r="Q13" s="91">
        <v>30</v>
      </c>
      <c r="R13" s="90">
        <v>3650</v>
      </c>
      <c r="S13" s="90">
        <v>2385</v>
      </c>
      <c r="T13" s="18"/>
      <c r="U13" s="12"/>
      <c r="V13" s="94" t="s">
        <v>61</v>
      </c>
      <c r="W13" s="35">
        <v>1500</v>
      </c>
      <c r="X13" s="119"/>
    </row>
    <row r="14" spans="1:24" s="3" customFormat="1" ht="16.5" thickBot="1" x14ac:dyDescent="0.3">
      <c r="A14" s="12"/>
      <c r="B14" s="55" t="s">
        <v>64</v>
      </c>
      <c r="C14" s="88">
        <v>4</v>
      </c>
      <c r="D14" s="88">
        <v>9</v>
      </c>
      <c r="E14" s="88">
        <v>23</v>
      </c>
      <c r="F14" s="88">
        <v>54</v>
      </c>
      <c r="G14" s="88">
        <v>11</v>
      </c>
      <c r="H14" s="88">
        <v>125</v>
      </c>
      <c r="I14" s="88">
        <v>5</v>
      </c>
      <c r="J14" s="88">
        <v>5</v>
      </c>
      <c r="K14" s="88">
        <v>10</v>
      </c>
      <c r="L14" s="88">
        <v>10</v>
      </c>
      <c r="M14" s="88">
        <v>16.399999999999999</v>
      </c>
      <c r="N14" s="88">
        <v>0.33</v>
      </c>
      <c r="O14" s="90">
        <v>0.8</v>
      </c>
      <c r="P14" s="90">
        <v>1</v>
      </c>
      <c r="Q14" s="90">
        <v>0.5</v>
      </c>
      <c r="R14" s="90">
        <v>58</v>
      </c>
      <c r="S14" s="90">
        <v>43</v>
      </c>
      <c r="T14" s="19"/>
      <c r="U14" s="12"/>
      <c r="V14" s="94" t="s">
        <v>63</v>
      </c>
      <c r="W14" s="35">
        <v>10000</v>
      </c>
      <c r="X14" s="119"/>
    </row>
    <row r="15" spans="1:24" s="3" customFormat="1" ht="16.5" thickBot="1" x14ac:dyDescent="0.3">
      <c r="A15" s="33" t="s">
        <v>51</v>
      </c>
      <c r="B15" s="27" t="s">
        <v>53</v>
      </c>
      <c r="C15" s="28">
        <f>C12*C13/C14</f>
        <v>74</v>
      </c>
      <c r="D15" s="28">
        <f t="shared" ref="D15:S15" si="0">D12*D13/D14</f>
        <v>88.888888888888886</v>
      </c>
      <c r="E15" s="28">
        <f t="shared" si="0"/>
        <v>49.565217391304351</v>
      </c>
      <c r="F15" s="28">
        <f t="shared" si="0"/>
        <v>75</v>
      </c>
      <c r="G15" s="28">
        <f t="shared" si="0"/>
        <v>66.36363636363636</v>
      </c>
      <c r="H15" s="28">
        <f t="shared" si="0"/>
        <v>52.671999999999997</v>
      </c>
      <c r="I15" s="28">
        <f t="shared" si="0"/>
        <v>54.6</v>
      </c>
      <c r="J15" s="28">
        <f t="shared" si="0"/>
        <v>53.4</v>
      </c>
      <c r="K15" s="28">
        <f t="shared" si="0"/>
        <v>60.7</v>
      </c>
      <c r="L15" s="28">
        <f t="shared" si="0"/>
        <v>58</v>
      </c>
      <c r="M15" s="28">
        <f t="shared" si="0"/>
        <v>43.536585365853661</v>
      </c>
      <c r="N15" s="28">
        <f t="shared" si="0"/>
        <v>66.666666666666657</v>
      </c>
      <c r="O15" s="28">
        <f t="shared" si="0"/>
        <v>52.5</v>
      </c>
      <c r="P15" s="28">
        <f t="shared" si="0"/>
        <v>70</v>
      </c>
      <c r="Q15" s="28">
        <f t="shared" si="0"/>
        <v>60</v>
      </c>
      <c r="R15" s="28">
        <f t="shared" si="0"/>
        <v>62.931034482758619</v>
      </c>
      <c r="S15" s="28">
        <f t="shared" si="0"/>
        <v>55.465116279069768</v>
      </c>
      <c r="T15" s="20"/>
      <c r="U15" s="12"/>
      <c r="V15" s="94" t="s">
        <v>65</v>
      </c>
      <c r="W15" s="35">
        <v>1700</v>
      </c>
      <c r="X15" s="119"/>
    </row>
    <row r="16" spans="1:24" s="3" customFormat="1" ht="28.5" customHeight="1" thickBot="1" x14ac:dyDescent="0.25">
      <c r="A16" s="38" t="s">
        <v>84</v>
      </c>
      <c r="B16" s="97" t="s">
        <v>49</v>
      </c>
      <c r="C16" s="98">
        <f>((C15*$W$12)/($W$13*$W$14*$C$9))*1000</f>
        <v>16.773333333333333</v>
      </c>
      <c r="D16" s="83">
        <f>((D15*$W$12)/($W$13*$W$14*$C$9))*1000</f>
        <v>20.148148148148149</v>
      </c>
      <c r="E16" s="83">
        <f t="shared" ref="E16:S16" si="1">((E15*$W$12)/($W$13*$W$14*$C$9))*1000</f>
        <v>11.234782608695653</v>
      </c>
      <c r="F16" s="83">
        <f t="shared" si="1"/>
        <v>17</v>
      </c>
      <c r="G16" s="83">
        <f t="shared" si="1"/>
        <v>15.042424242424243</v>
      </c>
      <c r="H16" s="83">
        <f t="shared" si="1"/>
        <v>11.938986666666667</v>
      </c>
      <c r="I16" s="83">
        <f t="shared" si="1"/>
        <v>12.375999999999999</v>
      </c>
      <c r="J16" s="83">
        <f t="shared" si="1"/>
        <v>12.104000000000001</v>
      </c>
      <c r="K16" s="83">
        <f t="shared" si="1"/>
        <v>13.758666666666667</v>
      </c>
      <c r="L16" s="83">
        <f t="shared" si="1"/>
        <v>13.146666666666667</v>
      </c>
      <c r="M16" s="83">
        <f t="shared" si="1"/>
        <v>9.86829268292683</v>
      </c>
      <c r="N16" s="83">
        <f t="shared" si="1"/>
        <v>15.111111111111111</v>
      </c>
      <c r="O16" s="83">
        <f t="shared" si="1"/>
        <v>11.9</v>
      </c>
      <c r="P16" s="83">
        <f t="shared" si="1"/>
        <v>15.866666666666667</v>
      </c>
      <c r="Q16" s="83">
        <f t="shared" si="1"/>
        <v>13.6</v>
      </c>
      <c r="R16" s="83">
        <f t="shared" si="1"/>
        <v>14.264367816091955</v>
      </c>
      <c r="S16" s="84">
        <f t="shared" si="1"/>
        <v>12.572093023255814</v>
      </c>
      <c r="T16" s="21"/>
      <c r="U16" s="12"/>
      <c r="V16" s="94" t="s">
        <v>66</v>
      </c>
      <c r="W16" s="35">
        <v>8.3140000000000001</v>
      </c>
      <c r="X16" s="119"/>
    </row>
    <row r="17" spans="1:24" s="3" customFormat="1" x14ac:dyDescent="0.2">
      <c r="A17" s="25"/>
      <c r="B17" s="29" t="s">
        <v>52</v>
      </c>
      <c r="C17" s="99">
        <f>C16*EXP((-LN(2)*365)/$C$6)</f>
        <v>3.8770679336168275E-4</v>
      </c>
      <c r="D17" s="99">
        <f>D16*EXP((-LN(2)*365)/$C$6)</f>
        <v>4.6571386589991924E-4</v>
      </c>
      <c r="E17" s="99">
        <f t="shared" ref="E17:S17" si="2">E16*EXP((-LN(2)*365)/$C$6)</f>
        <v>2.5968610131158539E-4</v>
      </c>
      <c r="F17" s="99">
        <f t="shared" si="2"/>
        <v>3.9294607435305683E-4</v>
      </c>
      <c r="G17" s="99">
        <f t="shared" si="2"/>
        <v>3.4769773851846242E-4</v>
      </c>
      <c r="H17" s="99">
        <f t="shared" si="2"/>
        <v>2.7596340837765613E-4</v>
      </c>
      <c r="I17" s="99">
        <f t="shared" si="2"/>
        <v>2.8606474212902538E-4</v>
      </c>
      <c r="J17" s="99">
        <f t="shared" si="2"/>
        <v>2.7977760493937647E-4</v>
      </c>
      <c r="K17" s="99">
        <f t="shared" si="2"/>
        <v>3.180243561764073E-4</v>
      </c>
      <c r="L17" s="99">
        <f t="shared" si="2"/>
        <v>3.0387829749969729E-4</v>
      </c>
      <c r="M17" s="99">
        <f t="shared" si="2"/>
        <v>2.2810040413665252E-4</v>
      </c>
      <c r="N17" s="99">
        <f t="shared" si="2"/>
        <v>3.4928539942493937E-4</v>
      </c>
      <c r="O17" s="99">
        <f t="shared" si="2"/>
        <v>2.750622520471398E-4</v>
      </c>
      <c r="P17" s="99">
        <f t="shared" si="2"/>
        <v>3.6674966939618636E-4</v>
      </c>
      <c r="Q17" s="99">
        <f t="shared" si="2"/>
        <v>3.1435685948244546E-4</v>
      </c>
      <c r="R17" s="99">
        <f t="shared" si="2"/>
        <v>3.2971337273302471E-4</v>
      </c>
      <c r="S17" s="99">
        <f t="shared" si="2"/>
        <v>2.9059732940528389E-4</v>
      </c>
      <c r="T17" s="15"/>
      <c r="U17" s="12"/>
      <c r="V17" s="94" t="s">
        <v>5</v>
      </c>
      <c r="W17" s="35">
        <v>285</v>
      </c>
      <c r="X17" s="119"/>
    </row>
    <row r="18" spans="1:24" s="3" customFormat="1" ht="15.75" x14ac:dyDescent="0.25">
      <c r="A18" s="25"/>
      <c r="B18" s="29" t="s">
        <v>82</v>
      </c>
      <c r="C18" s="99">
        <f>(C16-C17)/C16</f>
        <v>0.99997688552503805</v>
      </c>
      <c r="D18" s="99">
        <f t="shared" ref="D18:S18" si="3">(D16-D17)/D16</f>
        <v>0.99997688552503805</v>
      </c>
      <c r="E18" s="99">
        <f t="shared" si="3"/>
        <v>0.99997688552503794</v>
      </c>
      <c r="F18" s="99">
        <f t="shared" si="3"/>
        <v>0.99997688552503805</v>
      </c>
      <c r="G18" s="99">
        <f t="shared" si="3"/>
        <v>0.99997688552503805</v>
      </c>
      <c r="H18" s="99">
        <f t="shared" si="3"/>
        <v>0.99997688552503805</v>
      </c>
      <c r="I18" s="99">
        <f t="shared" si="3"/>
        <v>0.99997688552503805</v>
      </c>
      <c r="J18" s="99">
        <f t="shared" si="3"/>
        <v>0.99997688552503805</v>
      </c>
      <c r="K18" s="99">
        <f t="shared" si="3"/>
        <v>0.99997688552503805</v>
      </c>
      <c r="L18" s="99">
        <f t="shared" si="3"/>
        <v>0.99997688552503805</v>
      </c>
      <c r="M18" s="99">
        <f t="shared" si="3"/>
        <v>0.99997688552503805</v>
      </c>
      <c r="N18" s="99">
        <f t="shared" si="3"/>
        <v>0.99997688552503805</v>
      </c>
      <c r="O18" s="99">
        <f t="shared" si="3"/>
        <v>0.99997688552503805</v>
      </c>
      <c r="P18" s="99">
        <f t="shared" si="3"/>
        <v>0.99997688552503805</v>
      </c>
      <c r="Q18" s="99">
        <f t="shared" si="3"/>
        <v>0.99997688552503805</v>
      </c>
      <c r="R18" s="99">
        <f t="shared" si="3"/>
        <v>0.99997688552503816</v>
      </c>
      <c r="S18" s="99">
        <f t="shared" si="3"/>
        <v>0.99997688552503805</v>
      </c>
      <c r="T18" s="15"/>
      <c r="U18" s="12"/>
      <c r="V18" s="94" t="s">
        <v>67</v>
      </c>
      <c r="W18" s="35">
        <v>0.6</v>
      </c>
      <c r="X18" s="119"/>
    </row>
    <row r="19" spans="1:24" s="3" customFormat="1" ht="14.25" x14ac:dyDescent="0.25">
      <c r="A19" s="25"/>
      <c r="B19" s="29" t="s">
        <v>23</v>
      </c>
      <c r="C19" s="99">
        <f t="shared" ref="C19:S19" si="4">C16/C18</f>
        <v>16.77372104908854</v>
      </c>
      <c r="D19" s="99">
        <f t="shared" si="4"/>
        <v>20.14861387277903</v>
      </c>
      <c r="E19" s="99">
        <f t="shared" si="4"/>
        <v>11.235042300799613</v>
      </c>
      <c r="F19" s="99">
        <f t="shared" si="4"/>
        <v>17.000392955157306</v>
      </c>
      <c r="G19" s="99">
        <f t="shared" si="4"/>
        <v>15.042771948199798</v>
      </c>
      <c r="H19" s="99">
        <f t="shared" si="4"/>
        <v>11.939262636453941</v>
      </c>
      <c r="I19" s="99">
        <f t="shared" si="4"/>
        <v>12.376286071354517</v>
      </c>
      <c r="J19" s="99">
        <f t="shared" si="4"/>
        <v>12.104279784072002</v>
      </c>
      <c r="K19" s="99">
        <f t="shared" si="4"/>
        <v>13.758984698373979</v>
      </c>
      <c r="L19" s="99">
        <f t="shared" si="4"/>
        <v>13.146970551988316</v>
      </c>
      <c r="M19" s="99">
        <f t="shared" si="4"/>
        <v>9.8685207886035098</v>
      </c>
      <c r="N19" s="99">
        <f t="shared" si="4"/>
        <v>15.111460404584271</v>
      </c>
      <c r="O19" s="99">
        <f t="shared" si="4"/>
        <v>11.900275068610114</v>
      </c>
      <c r="P19" s="99">
        <f t="shared" si="4"/>
        <v>15.867033424813485</v>
      </c>
      <c r="Q19" s="99">
        <f t="shared" si="4"/>
        <v>13.600314364125843</v>
      </c>
      <c r="R19" s="99">
        <f t="shared" si="4"/>
        <v>14.264697537086015</v>
      </c>
      <c r="S19" s="99">
        <f t="shared" si="4"/>
        <v>12.572383627302379</v>
      </c>
      <c r="T19" s="22"/>
      <c r="U19" s="12"/>
      <c r="V19" s="94" t="s">
        <v>68</v>
      </c>
      <c r="W19" s="35">
        <v>0.2</v>
      </c>
      <c r="X19" s="119"/>
    </row>
    <row r="20" spans="1:24" s="3" customFormat="1" ht="14.25" x14ac:dyDescent="0.25">
      <c r="A20" s="25"/>
      <c r="B20" s="29" t="s">
        <v>21</v>
      </c>
      <c r="C20" s="99">
        <f>C15*$W$12/($W$15*$W$14*$C$10)*1000</f>
        <v>3.7</v>
      </c>
      <c r="D20" s="99">
        <f>D15*$W$12/($W$15*$W$14*$C$10)*1000</f>
        <v>4.4444444444444446</v>
      </c>
      <c r="E20" s="99">
        <f t="shared" ref="E20:S20" si="5">E15*$W$12/($W$15*$W$14*$C$10)*1000</f>
        <v>2.4782608695652173</v>
      </c>
      <c r="F20" s="99">
        <f t="shared" si="5"/>
        <v>3.75</v>
      </c>
      <c r="G20" s="99">
        <f t="shared" si="5"/>
        <v>3.3181818181818183</v>
      </c>
      <c r="H20" s="99">
        <f t="shared" si="5"/>
        <v>2.6335999999999999</v>
      </c>
      <c r="I20" s="99">
        <f t="shared" si="5"/>
        <v>2.73</v>
      </c>
      <c r="J20" s="99">
        <f t="shared" si="5"/>
        <v>2.67</v>
      </c>
      <c r="K20" s="99">
        <f t="shared" si="5"/>
        <v>3.0350000000000001</v>
      </c>
      <c r="L20" s="99">
        <f t="shared" si="5"/>
        <v>2.9</v>
      </c>
      <c r="M20" s="99">
        <f t="shared" si="5"/>
        <v>2.1768292682926833</v>
      </c>
      <c r="N20" s="99">
        <f t="shared" si="5"/>
        <v>3.333333333333333</v>
      </c>
      <c r="O20" s="99">
        <f t="shared" si="5"/>
        <v>2.625</v>
      </c>
      <c r="P20" s="99">
        <f t="shared" si="5"/>
        <v>3.5</v>
      </c>
      <c r="Q20" s="99">
        <f t="shared" si="5"/>
        <v>3</v>
      </c>
      <c r="R20" s="99">
        <f t="shared" si="5"/>
        <v>3.146551724137931</v>
      </c>
      <c r="S20" s="99">
        <f t="shared" si="5"/>
        <v>2.7732558139534884</v>
      </c>
      <c r="T20" s="22"/>
      <c r="U20" s="12"/>
      <c r="V20" s="94" t="s">
        <v>69</v>
      </c>
      <c r="W20" s="35">
        <v>0.2</v>
      </c>
      <c r="X20" s="119"/>
    </row>
    <row r="21" spans="1:24" s="3" customFormat="1" ht="15" thickBot="1" x14ac:dyDescent="0.3">
      <c r="A21" s="25"/>
      <c r="B21" s="29" t="s">
        <v>22</v>
      </c>
      <c r="C21" s="99">
        <f t="shared" ref="C21:S21" si="6">C20/C18</f>
        <v>3.7000855255342371</v>
      </c>
      <c r="D21" s="99">
        <f t="shared" si="6"/>
        <v>4.4445471778189036</v>
      </c>
      <c r="E21" s="99">
        <f t="shared" si="6"/>
        <v>2.4783181545881496</v>
      </c>
      <c r="F21" s="99">
        <f t="shared" si="6"/>
        <v>3.7500866812846998</v>
      </c>
      <c r="G21" s="99">
        <f t="shared" si="6"/>
        <v>3.3182585179852495</v>
      </c>
      <c r="H21" s="99">
        <f t="shared" si="6"/>
        <v>2.6336608756883693</v>
      </c>
      <c r="I21" s="99">
        <f t="shared" si="6"/>
        <v>2.7300631039752612</v>
      </c>
      <c r="J21" s="99">
        <f t="shared" si="6"/>
        <v>2.6700617170747063</v>
      </c>
      <c r="K21" s="99">
        <f t="shared" si="6"/>
        <v>3.0350701540530838</v>
      </c>
      <c r="L21" s="99">
        <f t="shared" si="6"/>
        <v>2.9000670335268341</v>
      </c>
      <c r="M21" s="99">
        <f t="shared" si="6"/>
        <v>2.1768795857213625</v>
      </c>
      <c r="N21" s="99">
        <f t="shared" si="6"/>
        <v>3.3334103833641771</v>
      </c>
      <c r="O21" s="99">
        <f t="shared" si="6"/>
        <v>2.6250606768992899</v>
      </c>
      <c r="P21" s="99">
        <f t="shared" si="6"/>
        <v>3.5000809025323862</v>
      </c>
      <c r="Q21" s="99">
        <f t="shared" si="6"/>
        <v>3.0000693450277596</v>
      </c>
      <c r="R21" s="99">
        <f t="shared" si="6"/>
        <v>3.1466244567101498</v>
      </c>
      <c r="S21" s="99">
        <f t="shared" si="6"/>
        <v>2.7733199177872896</v>
      </c>
      <c r="T21" s="15"/>
      <c r="U21" s="12"/>
      <c r="V21" s="94" t="s">
        <v>70</v>
      </c>
      <c r="W21" s="35">
        <v>0.02</v>
      </c>
      <c r="X21" s="119"/>
    </row>
    <row r="22" spans="1:24" s="3" customFormat="1" ht="28.5" customHeight="1" thickBot="1" x14ac:dyDescent="0.3">
      <c r="A22" s="39" t="s">
        <v>85</v>
      </c>
      <c r="B22" s="97" t="s">
        <v>50</v>
      </c>
      <c r="C22" s="98">
        <f>C20*$W$15/($W$29*1000)</f>
        <v>0.34560439560439282</v>
      </c>
      <c r="D22" s="83">
        <f>D20*$W$15/($W$29*1000)</f>
        <v>0.41514041514041183</v>
      </c>
      <c r="E22" s="83">
        <f t="shared" ref="E22:S22" si="7">E20*$W$15/($W$29*1000)</f>
        <v>0.23148590539894701</v>
      </c>
      <c r="F22" s="83">
        <f t="shared" si="7"/>
        <v>0.35027472527472248</v>
      </c>
      <c r="G22" s="83">
        <f t="shared" si="7"/>
        <v>0.30994005994005747</v>
      </c>
      <c r="H22" s="83">
        <f t="shared" si="7"/>
        <v>0.24599560439560242</v>
      </c>
      <c r="I22" s="83">
        <f t="shared" si="7"/>
        <v>0.25499999999999795</v>
      </c>
      <c r="J22" s="83">
        <f t="shared" si="7"/>
        <v>0.2493956043956024</v>
      </c>
      <c r="K22" s="83">
        <f t="shared" si="7"/>
        <v>0.28348901098900875</v>
      </c>
      <c r="L22" s="83">
        <f t="shared" si="7"/>
        <v>0.2708791208791187</v>
      </c>
      <c r="M22" s="83">
        <f t="shared" si="7"/>
        <v>0.20333020637898527</v>
      </c>
      <c r="N22" s="83">
        <f t="shared" si="7"/>
        <v>0.31135531135530881</v>
      </c>
      <c r="O22" s="83">
        <f t="shared" si="7"/>
        <v>0.24519230769230574</v>
      </c>
      <c r="P22" s="83">
        <f t="shared" si="7"/>
        <v>0.32692307692307432</v>
      </c>
      <c r="Q22" s="83">
        <f t="shared" si="7"/>
        <v>0.280219780219778</v>
      </c>
      <c r="R22" s="83">
        <f t="shared" si="7"/>
        <v>0.29390867752936484</v>
      </c>
      <c r="S22" s="84">
        <f t="shared" si="7"/>
        <v>0.25904037822642267</v>
      </c>
      <c r="T22" s="15"/>
      <c r="U22" s="12"/>
      <c r="V22" s="94" t="s">
        <v>71</v>
      </c>
      <c r="W22" s="35">
        <v>2500</v>
      </c>
      <c r="X22" s="119"/>
    </row>
    <row r="23" spans="1:24" s="3" customFormat="1" ht="15.7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15"/>
      <c r="U23" s="12"/>
      <c r="V23" s="94" t="s">
        <v>72</v>
      </c>
      <c r="W23" s="35">
        <v>1150</v>
      </c>
      <c r="X23" s="119"/>
    </row>
    <row r="24" spans="1:24" s="3" customForma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15"/>
      <c r="U24" s="12"/>
      <c r="V24" s="94" t="s">
        <v>24</v>
      </c>
      <c r="W24" s="35">
        <v>0.9</v>
      </c>
      <c r="X24" s="119"/>
    </row>
    <row r="25" spans="1:24" s="3" customFormat="1" ht="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15"/>
      <c r="U25" s="12"/>
      <c r="V25" s="94" t="s">
        <v>73</v>
      </c>
      <c r="W25" s="35">
        <v>1000</v>
      </c>
      <c r="X25" s="119"/>
    </row>
    <row r="26" spans="1:24" s="3" customFormat="1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15"/>
      <c r="U26" s="12"/>
      <c r="V26" s="94" t="s">
        <v>26</v>
      </c>
      <c r="W26" s="35">
        <v>0.1</v>
      </c>
      <c r="X26" s="119"/>
    </row>
    <row r="27" spans="1:24" s="3" customFormat="1" ht="13.5" thickBot="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15"/>
      <c r="U27" s="12"/>
      <c r="V27" s="95" t="s">
        <v>25</v>
      </c>
      <c r="W27" s="96">
        <v>0.1</v>
      </c>
      <c r="X27" s="120"/>
    </row>
    <row r="28" spans="1:24" s="3" customFormat="1" ht="15.7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18"/>
      <c r="U28" s="12"/>
      <c r="V28" s="92" t="s">
        <v>74</v>
      </c>
      <c r="W28" s="93">
        <f>C5*W21</f>
        <v>12</v>
      </c>
      <c r="X28" s="121" t="s">
        <v>81</v>
      </c>
    </row>
    <row r="29" spans="1:24" s="3" customFormat="1" ht="15.7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23"/>
      <c r="U29" s="12"/>
      <c r="V29" s="94" t="s">
        <v>75</v>
      </c>
      <c r="W29" s="35">
        <f>(W20*W30)+W19+(W18*(W28/1000)*W22)</f>
        <v>18.200000000000145</v>
      </c>
      <c r="X29" s="122"/>
    </row>
    <row r="30" spans="1:24" s="3" customFormat="1" ht="15.7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18"/>
      <c r="U30" s="12"/>
      <c r="V30" s="94" t="s">
        <v>76</v>
      </c>
      <c r="W30" s="35">
        <f>(C2*C3)/(C4*W16*W17)</f>
        <v>7.2308105682376102E-13</v>
      </c>
      <c r="X30" s="122"/>
    </row>
    <row r="31" spans="1:24" s="3" customFormat="1" ht="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18"/>
      <c r="U31" s="12"/>
      <c r="V31" s="94" t="s">
        <v>77</v>
      </c>
      <c r="W31" s="35">
        <f>C5*W27</f>
        <v>60</v>
      </c>
      <c r="X31" s="122"/>
    </row>
    <row r="32" spans="1:24" s="3" customFormat="1" ht="16.5" thickBo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18"/>
      <c r="U32" s="12"/>
      <c r="V32" s="95" t="s">
        <v>78</v>
      </c>
      <c r="W32" s="96">
        <f>W24+(W26*(W31/W25)*W22)</f>
        <v>15.9</v>
      </c>
      <c r="X32" s="123"/>
    </row>
    <row r="33" spans="1:24" s="3" customFormat="1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18"/>
      <c r="U33" s="12"/>
      <c r="V33" s="60"/>
      <c r="W33" s="60"/>
      <c r="X33" s="61"/>
    </row>
    <row r="34" spans="1:24" s="3" customFormat="1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18"/>
      <c r="U34" s="12"/>
      <c r="V34" s="60"/>
      <c r="W34" s="60"/>
      <c r="X34" s="61"/>
    </row>
    <row r="35" spans="1:24" s="3" customForma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18"/>
      <c r="U35" s="12"/>
      <c r="V35" s="60"/>
      <c r="W35" s="60"/>
      <c r="X35" s="61"/>
    </row>
    <row r="36" spans="1:24" s="3" customFormat="1" x14ac:dyDescent="0.2">
      <c r="A36" s="9"/>
      <c r="B36" s="10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11"/>
      <c r="Q36" s="9"/>
      <c r="R36" s="9"/>
      <c r="S36" s="9"/>
      <c r="T36" s="18"/>
      <c r="U36" s="12"/>
      <c r="V36" s="60"/>
      <c r="W36" s="60"/>
      <c r="X36" s="61"/>
    </row>
    <row r="37" spans="1:24" s="3" customFormat="1" x14ac:dyDescent="0.2">
      <c r="A37" s="9"/>
      <c r="B37" s="32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24"/>
      <c r="U37" s="12"/>
      <c r="V37" s="12"/>
      <c r="W37" s="12"/>
      <c r="X37" s="9"/>
    </row>
    <row r="38" spans="1:24" s="3" customFormat="1" x14ac:dyDescent="0.2">
      <c r="A38" s="9"/>
      <c r="B38" s="10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11"/>
      <c r="Q38" s="9"/>
      <c r="R38" s="9"/>
      <c r="S38" s="9"/>
      <c r="T38" s="24"/>
      <c r="U38" s="12"/>
      <c r="V38" s="12"/>
      <c r="W38" s="12"/>
      <c r="X38" s="9"/>
    </row>
    <row r="39" spans="1:24" s="3" customFormat="1" x14ac:dyDescent="0.2">
      <c r="A39" s="9"/>
      <c r="B39" s="10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24"/>
      <c r="U39" s="12"/>
      <c r="V39" s="12"/>
      <c r="W39" s="12"/>
      <c r="X39" s="9"/>
    </row>
    <row r="40" spans="1:24" s="3" customFormat="1" x14ac:dyDescent="0.2">
      <c r="B40" s="8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2"/>
      <c r="Q40" s="1"/>
      <c r="R40" s="1"/>
      <c r="S40" s="1"/>
      <c r="T40" s="15"/>
      <c r="U40" s="12"/>
      <c r="V40" s="12"/>
      <c r="W40" s="12"/>
      <c r="X40" s="9"/>
    </row>
    <row r="41" spans="1:24" s="3" customFormat="1" x14ac:dyDescent="0.2">
      <c r="B41" s="8"/>
      <c r="G41" s="1"/>
      <c r="H41" s="1"/>
      <c r="I41" s="1"/>
      <c r="J41" s="1"/>
      <c r="K41" s="1"/>
      <c r="L41" s="1"/>
      <c r="M41" s="1"/>
      <c r="N41" s="1"/>
      <c r="O41" s="1"/>
      <c r="P41" s="2"/>
      <c r="Q41" s="1"/>
      <c r="R41" s="1"/>
      <c r="S41" s="1"/>
      <c r="T41" s="15"/>
      <c r="U41" s="12"/>
      <c r="V41" s="12"/>
      <c r="W41" s="12"/>
      <c r="X41" s="9"/>
    </row>
    <row r="42" spans="1:24" s="3" customFormat="1" x14ac:dyDescent="0.2">
      <c r="B42" s="8"/>
      <c r="G42" s="1"/>
      <c r="H42" s="1"/>
      <c r="I42" s="1"/>
      <c r="J42" s="1"/>
      <c r="K42" s="1"/>
      <c r="L42" s="1"/>
      <c r="M42" s="1"/>
      <c r="N42" s="1"/>
      <c r="O42" s="1"/>
      <c r="P42" s="2"/>
      <c r="Q42" s="1"/>
      <c r="R42" s="1"/>
      <c r="S42" s="1"/>
      <c r="T42" s="4"/>
    </row>
    <row r="43" spans="1:24" s="3" customFormat="1" x14ac:dyDescent="0.2">
      <c r="B43" s="8"/>
      <c r="G43" s="1"/>
      <c r="H43" s="1"/>
      <c r="I43" s="1"/>
      <c r="J43" s="1"/>
      <c r="K43" s="1"/>
      <c r="L43" s="1"/>
      <c r="M43" s="1"/>
      <c r="N43" s="1"/>
      <c r="O43" s="1"/>
      <c r="P43" s="2"/>
      <c r="Q43" s="1"/>
      <c r="R43" s="1"/>
      <c r="S43" s="1"/>
      <c r="T43" s="4"/>
    </row>
    <row r="44" spans="1:24" s="3" customFormat="1" x14ac:dyDescent="0.2">
      <c r="B44" s="8"/>
      <c r="G44" s="1"/>
      <c r="H44" s="1"/>
      <c r="I44" s="1"/>
      <c r="J44" s="1"/>
      <c r="K44" s="1"/>
      <c r="L44" s="1"/>
      <c r="M44" s="1"/>
      <c r="N44" s="1"/>
      <c r="O44" s="1"/>
      <c r="P44" s="2"/>
      <c r="Q44" s="1"/>
      <c r="R44" s="1"/>
      <c r="S44" s="1"/>
      <c r="T44" s="4"/>
    </row>
    <row r="45" spans="1:24" s="3" customFormat="1" x14ac:dyDescent="0.2">
      <c r="B45" s="8"/>
      <c r="G45" s="1"/>
      <c r="H45" s="1"/>
      <c r="I45" s="1"/>
      <c r="J45" s="1"/>
      <c r="K45" s="1"/>
      <c r="L45" s="1"/>
      <c r="M45" s="1"/>
      <c r="N45" s="1"/>
      <c r="O45" s="1"/>
      <c r="P45" s="2"/>
      <c r="Q45" s="1"/>
      <c r="R45" s="1"/>
      <c r="S45" s="1"/>
      <c r="T45" s="5"/>
    </row>
    <row r="46" spans="1:24" s="3" customFormat="1" x14ac:dyDescent="0.2">
      <c r="B46" s="8"/>
      <c r="G46" s="1"/>
      <c r="H46" s="1"/>
      <c r="I46" s="1"/>
      <c r="J46" s="1"/>
      <c r="K46" s="1"/>
      <c r="L46" s="1"/>
      <c r="M46" s="1"/>
      <c r="N46" s="1"/>
      <c r="O46" s="1"/>
      <c r="P46" s="2"/>
      <c r="Q46" s="1"/>
      <c r="R46" s="1"/>
      <c r="S46" s="1"/>
      <c r="T46" s="6"/>
    </row>
    <row r="47" spans="1:24" s="3" customFormat="1" x14ac:dyDescent="0.2">
      <c r="B47" s="8"/>
      <c r="G47" s="1"/>
      <c r="H47" s="1"/>
      <c r="I47" s="1"/>
      <c r="J47" s="1"/>
      <c r="K47" s="1"/>
      <c r="L47" s="1"/>
      <c r="M47" s="1"/>
      <c r="N47" s="1"/>
      <c r="O47" s="1"/>
      <c r="P47" s="2"/>
      <c r="Q47" s="1"/>
      <c r="R47" s="1"/>
      <c r="S47" s="1"/>
      <c r="T47" s="5"/>
    </row>
    <row r="48" spans="1:24" s="3" customFormat="1" x14ac:dyDescent="0.2">
      <c r="B48" s="8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2"/>
      <c r="Q48" s="1"/>
      <c r="R48" s="1"/>
      <c r="S48" s="1"/>
      <c r="T48" s="7"/>
    </row>
    <row r="49" spans="1:23" s="3" customFormat="1" x14ac:dyDescent="0.2">
      <c r="B49" s="8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2"/>
      <c r="Q49" s="1"/>
      <c r="R49" s="1"/>
      <c r="S49" s="1"/>
      <c r="T49" s="5"/>
    </row>
    <row r="50" spans="1:23" s="3" customFormat="1" x14ac:dyDescent="0.2">
      <c r="B50" s="8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2"/>
      <c r="Q50" s="1"/>
      <c r="R50" s="1"/>
      <c r="S50" s="1"/>
      <c r="T50" s="5"/>
    </row>
    <row r="51" spans="1:23" s="3" customFormat="1" x14ac:dyDescent="0.2">
      <c r="B51" s="8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2"/>
      <c r="Q51" s="1"/>
      <c r="R51" s="1"/>
      <c r="S51" s="1"/>
      <c r="T51" s="5"/>
    </row>
    <row r="52" spans="1:23" s="3" customFormat="1" x14ac:dyDescent="0.2">
      <c r="B52" s="8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2"/>
      <c r="Q52" s="1"/>
      <c r="R52" s="1"/>
      <c r="S52" s="1"/>
      <c r="T52" s="6"/>
    </row>
    <row r="53" spans="1:23" s="3" customFormat="1" x14ac:dyDescent="0.2">
      <c r="A53" s="1"/>
      <c r="B53" s="8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2"/>
      <c r="Q53" s="1"/>
      <c r="R53" s="1"/>
      <c r="S53" s="1"/>
      <c r="T53" s="6"/>
    </row>
    <row r="54" spans="1:23" s="3" customFormat="1" x14ac:dyDescent="0.2">
      <c r="A54" s="1"/>
      <c r="B54" s="8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2"/>
      <c r="Q54" s="1"/>
      <c r="R54" s="1"/>
      <c r="S54" s="1"/>
      <c r="T54" s="6"/>
    </row>
    <row r="55" spans="1:23" s="3" customFormat="1" x14ac:dyDescent="0.2">
      <c r="A55" s="1"/>
      <c r="B55" s="8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2"/>
      <c r="Q55" s="1"/>
      <c r="R55" s="1"/>
      <c r="S55" s="1"/>
      <c r="T55" s="6"/>
    </row>
    <row r="56" spans="1:23" s="3" customFormat="1" x14ac:dyDescent="0.2">
      <c r="A56" s="1"/>
      <c r="B56" s="8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2"/>
      <c r="Q56" s="1"/>
      <c r="R56" s="1"/>
      <c r="S56" s="1"/>
      <c r="T56" s="5"/>
    </row>
    <row r="57" spans="1:23" s="3" customFormat="1" x14ac:dyDescent="0.2">
      <c r="A57" s="1"/>
      <c r="B57" s="8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2"/>
      <c r="Q57" s="1"/>
      <c r="R57" s="1"/>
      <c r="S57" s="1"/>
      <c r="T57" s="4"/>
    </row>
    <row r="58" spans="1:23" s="3" customFormat="1" x14ac:dyDescent="0.2">
      <c r="A58" s="1"/>
      <c r="B58" s="8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2"/>
      <c r="Q58" s="1"/>
      <c r="R58" s="1"/>
      <c r="S58" s="1"/>
      <c r="T58" s="4"/>
    </row>
    <row r="59" spans="1:23" s="3" customFormat="1" x14ac:dyDescent="0.2">
      <c r="A59" s="1"/>
      <c r="B59" s="8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2"/>
      <c r="Q59" s="1"/>
      <c r="R59" s="1"/>
      <c r="S59" s="1"/>
      <c r="T59" s="4"/>
    </row>
    <row r="60" spans="1:23" s="3" customFormat="1" x14ac:dyDescent="0.2">
      <c r="A60" s="1"/>
      <c r="B60" s="8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2"/>
      <c r="Q60" s="1"/>
      <c r="R60" s="1"/>
      <c r="S60" s="1"/>
      <c r="T60" s="4"/>
    </row>
    <row r="61" spans="1:23" x14ac:dyDescent="0.2">
      <c r="V61" s="3"/>
      <c r="W61" s="3"/>
    </row>
    <row r="62" spans="1:23" x14ac:dyDescent="0.2">
      <c r="V62" s="3"/>
      <c r="W62" s="3"/>
    </row>
    <row r="63" spans="1:23" x14ac:dyDescent="0.2">
      <c r="V63" s="3"/>
      <c r="W63" s="3"/>
    </row>
    <row r="64" spans="1:23" x14ac:dyDescent="0.2">
      <c r="V64" s="3"/>
      <c r="W64" s="3"/>
    </row>
    <row r="65" spans="22:23" x14ac:dyDescent="0.2">
      <c r="V65" s="3"/>
      <c r="W65" s="3"/>
    </row>
    <row r="66" spans="22:23" x14ac:dyDescent="0.2">
      <c r="V66" s="3"/>
      <c r="W66" s="3"/>
    </row>
    <row r="67" spans="22:23" x14ac:dyDescent="0.2">
      <c r="V67" s="3"/>
      <c r="W67" s="3"/>
    </row>
    <row r="68" spans="22:23" x14ac:dyDescent="0.2">
      <c r="V68" s="3"/>
      <c r="W68" s="3"/>
    </row>
    <row r="69" spans="22:23" x14ac:dyDescent="0.2">
      <c r="V69" s="3"/>
      <c r="W69" s="3"/>
    </row>
    <row r="70" spans="22:23" x14ac:dyDescent="0.2">
      <c r="V70" s="3"/>
      <c r="W70" s="3"/>
    </row>
    <row r="71" spans="22:23" x14ac:dyDescent="0.2">
      <c r="V71" s="3"/>
      <c r="W71" s="3"/>
    </row>
  </sheetData>
  <sheetProtection sheet="1" objects="1" scenarios="1"/>
  <mergeCells count="7">
    <mergeCell ref="X12:X27"/>
    <mergeCell ref="X28:X32"/>
    <mergeCell ref="E3:F3"/>
    <mergeCell ref="B1:C1"/>
    <mergeCell ref="B8:S8"/>
    <mergeCell ref="V11:X11"/>
    <mergeCell ref="B7:S7"/>
  </mergeCells>
  <conditionalFormatting sqref="T49 T46">
    <cfRule type="cellIs" dxfId="11" priority="35" stopIfTrue="1" operator="greaterThan">
      <formula>10</formula>
    </cfRule>
  </conditionalFormatting>
  <conditionalFormatting sqref="T52:T56">
    <cfRule type="cellIs" dxfId="10" priority="36" stopIfTrue="1" operator="greaterThan">
      <formula>0.1</formula>
    </cfRule>
  </conditionalFormatting>
  <conditionalFormatting sqref="C16:S16">
    <cfRule type="cellIs" dxfId="9" priority="5" operator="lessThan">
      <formula>10</formula>
    </cfRule>
    <cfRule type="cellIs" dxfId="8" priority="6" operator="greaterThanOrEqual">
      <formula>10</formula>
    </cfRule>
  </conditionalFormatting>
  <conditionalFormatting sqref="C22:S22">
    <cfRule type="cellIs" dxfId="7" priority="3" operator="lessThan">
      <formula>0.1</formula>
    </cfRule>
    <cfRule type="cellIs" dxfId="6" priority="4" operator="greaterThanOrEqual">
      <formula>0.1</formula>
    </cfRule>
  </conditionalFormatting>
  <pageMargins left="0.74791666666666667" right="0.74791666666666667" top="0.98402777777777772" bottom="0.98402777777777772" header="0.51180555555555551" footer="0.51180555555555551"/>
  <pageSetup paperSize="9" scale="55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1"/>
  <sheetViews>
    <sheetView zoomScale="110" zoomScaleNormal="70" workbookViewId="0">
      <selection activeCell="B8" sqref="B8:S8"/>
    </sheetView>
  </sheetViews>
  <sheetFormatPr defaultColWidth="7.85546875" defaultRowHeight="12.75" x14ac:dyDescent="0.2"/>
  <cols>
    <col min="1" max="1" width="17.85546875" style="1" customWidth="1"/>
    <col min="2" max="2" width="27.7109375" style="8" customWidth="1"/>
    <col min="3" max="3" width="9.7109375" style="1" customWidth="1"/>
    <col min="4" max="15" width="8.7109375" style="1" customWidth="1"/>
    <col min="16" max="16" width="8.7109375" style="2" customWidth="1"/>
    <col min="17" max="19" width="8.7109375" style="1" customWidth="1"/>
    <col min="20" max="20" width="2.5703125" style="2" customWidth="1"/>
    <col min="21" max="21" width="2.5703125" style="1" customWidth="1"/>
    <col min="22" max="22" width="18.42578125" style="1" customWidth="1"/>
    <col min="23" max="23" width="11.7109375" style="1" customWidth="1"/>
    <col min="24" max="16384" width="7.85546875" style="1"/>
  </cols>
  <sheetData>
    <row r="1" spans="1:24" ht="15.75" customHeight="1" x14ac:dyDescent="0.35">
      <c r="A1" s="12"/>
      <c r="B1" s="126" t="s">
        <v>40</v>
      </c>
      <c r="C1" s="126"/>
      <c r="D1" s="59"/>
      <c r="E1" s="59"/>
      <c r="F1" s="131" t="s">
        <v>46</v>
      </c>
      <c r="G1" s="131"/>
      <c r="H1" s="131"/>
      <c r="I1" s="59"/>
      <c r="J1" s="59"/>
      <c r="K1" s="85" t="s">
        <v>45</v>
      </c>
      <c r="L1" s="58"/>
      <c r="M1" s="14"/>
      <c r="N1" s="13"/>
      <c r="O1" s="13"/>
      <c r="P1" s="13"/>
      <c r="Q1" s="13"/>
      <c r="R1" s="13"/>
      <c r="S1" s="13"/>
      <c r="T1" s="15"/>
      <c r="U1" s="12"/>
      <c r="V1" s="12"/>
      <c r="W1" s="12"/>
      <c r="X1" s="9"/>
    </row>
    <row r="2" spans="1:24" ht="15.75" customHeight="1" x14ac:dyDescent="0.35">
      <c r="A2" s="12"/>
      <c r="B2" s="42" t="s">
        <v>0</v>
      </c>
      <c r="C2" s="43">
        <f>'ERA Terrestrial -Phase I'!C2</f>
        <v>257</v>
      </c>
      <c r="D2" s="44"/>
      <c r="E2" s="44"/>
      <c r="F2" s="132" t="s">
        <v>79</v>
      </c>
      <c r="G2" s="132"/>
      <c r="H2" s="113">
        <v>1</v>
      </c>
      <c r="I2" s="13"/>
      <c r="J2" s="13"/>
      <c r="K2" s="133" t="s">
        <v>47</v>
      </c>
      <c r="L2" s="134"/>
      <c r="M2" s="111">
        <v>500</v>
      </c>
      <c r="N2" s="13"/>
      <c r="O2" s="13"/>
      <c r="P2" s="13"/>
      <c r="Q2" s="13"/>
      <c r="R2" s="13"/>
      <c r="S2" s="13"/>
      <c r="T2" s="15"/>
      <c r="U2" s="12"/>
      <c r="V2" s="12"/>
      <c r="W2" s="12"/>
      <c r="X2" s="9"/>
    </row>
    <row r="3" spans="1:24" ht="15.75" customHeight="1" x14ac:dyDescent="0.2">
      <c r="A3" s="12"/>
      <c r="B3" s="42" t="s">
        <v>41</v>
      </c>
      <c r="C3" s="45">
        <f>'ERA Terrestrial -Phase I'!C3</f>
        <v>1.0000000000000001E-9</v>
      </c>
      <c r="D3" s="46"/>
      <c r="E3" s="46"/>
      <c r="F3" s="133" t="s">
        <v>54</v>
      </c>
      <c r="G3" s="134"/>
      <c r="H3" s="113">
        <v>2</v>
      </c>
      <c r="I3" s="12"/>
      <c r="J3" s="12"/>
      <c r="K3" s="124" t="s">
        <v>55</v>
      </c>
      <c r="L3" s="125"/>
      <c r="M3" s="36">
        <f>($W$24+($W$26*$W$27*$C$5/1000*$W$22))/$W$23*M2*1000*$W$23/($W$26*$W$22)</f>
        <v>31800.000000000007</v>
      </c>
      <c r="N3" s="12"/>
      <c r="O3" s="12"/>
      <c r="P3" s="12"/>
      <c r="Q3" s="12"/>
      <c r="R3" s="12"/>
      <c r="S3" s="12"/>
      <c r="T3" s="15"/>
      <c r="U3" s="12"/>
      <c r="V3" s="12"/>
      <c r="W3" s="12"/>
      <c r="X3" s="9"/>
    </row>
    <row r="4" spans="1:24" ht="15.75" customHeight="1" x14ac:dyDescent="0.2">
      <c r="A4" s="12"/>
      <c r="B4" s="42" t="s">
        <v>1</v>
      </c>
      <c r="C4" s="47">
        <f>'ERA Terrestrial -Phase I'!C4</f>
        <v>150</v>
      </c>
      <c r="D4" s="46"/>
      <c r="E4" s="46"/>
      <c r="F4" s="133" t="s">
        <v>56</v>
      </c>
      <c r="G4" s="134"/>
      <c r="H4" s="113">
        <v>180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5"/>
      <c r="U4" s="12"/>
      <c r="V4" s="12"/>
      <c r="W4" s="12"/>
      <c r="X4" s="9"/>
    </row>
    <row r="5" spans="1:24" ht="15.75" customHeight="1" x14ac:dyDescent="0.2">
      <c r="A5" s="12"/>
      <c r="B5" s="42" t="s">
        <v>42</v>
      </c>
      <c r="C5" s="48">
        <f>'ERA Terrestrial -Phase I'!C5</f>
        <v>600</v>
      </c>
      <c r="D5" s="46"/>
      <c r="E5" s="46"/>
      <c r="F5" s="133" t="s">
        <v>57</v>
      </c>
      <c r="G5" s="134"/>
      <c r="H5" s="113">
        <v>25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5"/>
      <c r="U5" s="12"/>
      <c r="V5" s="12"/>
      <c r="W5" s="12"/>
      <c r="X5" s="9"/>
    </row>
    <row r="6" spans="1:24" ht="15.75" customHeight="1" x14ac:dyDescent="0.2">
      <c r="A6" s="12"/>
      <c r="B6" s="42" t="s">
        <v>83</v>
      </c>
      <c r="C6" s="49">
        <f>'ERA Terrestrial -Phase I'!C6</f>
        <v>23.7</v>
      </c>
      <c r="D6" s="46"/>
      <c r="E6" s="46"/>
      <c r="F6" s="133" t="s">
        <v>58</v>
      </c>
      <c r="G6" s="134"/>
      <c r="H6" s="113">
        <v>30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5"/>
      <c r="U6" s="12"/>
      <c r="V6" s="12"/>
      <c r="W6" s="12"/>
      <c r="X6" s="9"/>
    </row>
    <row r="7" spans="1:24" ht="9.75" customHeight="1" x14ac:dyDescent="0.2">
      <c r="A7" s="12"/>
      <c r="B7" s="16"/>
      <c r="C7" s="12"/>
      <c r="D7" s="12"/>
      <c r="E7" s="12"/>
      <c r="F7" s="12"/>
      <c r="G7" s="17"/>
      <c r="H7" s="17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5"/>
      <c r="U7" s="12"/>
      <c r="V7" s="12"/>
      <c r="W7" s="12"/>
      <c r="X7" s="9"/>
    </row>
    <row r="8" spans="1:24" ht="26.25" customHeight="1" x14ac:dyDescent="0.4">
      <c r="A8" s="12"/>
      <c r="B8" s="127" t="s">
        <v>107</v>
      </c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5"/>
      <c r="U8" s="12"/>
      <c r="V8" s="12"/>
      <c r="W8" s="12"/>
      <c r="X8" s="9"/>
    </row>
    <row r="9" spans="1:24" ht="12.75" customHeight="1" x14ac:dyDescent="0.35">
      <c r="A9" s="12"/>
      <c r="B9" s="51" t="s">
        <v>59</v>
      </c>
      <c r="C9" s="50">
        <v>0.05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5"/>
      <c r="U9" s="12"/>
      <c r="V9" s="12"/>
      <c r="W9" s="12"/>
      <c r="X9" s="9"/>
    </row>
    <row r="10" spans="1:24" ht="12.75" customHeight="1" thickBot="1" x14ac:dyDescent="0.4">
      <c r="A10" s="12"/>
      <c r="B10" s="51" t="s">
        <v>20</v>
      </c>
      <c r="C10" s="50">
        <v>0.2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5"/>
      <c r="U10" s="12"/>
      <c r="V10" s="12"/>
      <c r="W10" s="12"/>
      <c r="X10" s="9"/>
    </row>
    <row r="11" spans="1:24" s="3" customFormat="1" ht="24.75" customHeight="1" thickBot="1" x14ac:dyDescent="0.25">
      <c r="A11" s="12"/>
      <c r="B11" s="52"/>
      <c r="C11" s="53" t="s">
        <v>6</v>
      </c>
      <c r="D11" s="53" t="s">
        <v>7</v>
      </c>
      <c r="E11" s="53" t="s">
        <v>8</v>
      </c>
      <c r="F11" s="53" t="s">
        <v>9</v>
      </c>
      <c r="G11" s="53" t="s">
        <v>10</v>
      </c>
      <c r="H11" s="53" t="s">
        <v>60</v>
      </c>
      <c r="I11" s="53" t="s">
        <v>11</v>
      </c>
      <c r="J11" s="53" t="s">
        <v>12</v>
      </c>
      <c r="K11" s="53" t="s">
        <v>13</v>
      </c>
      <c r="L11" s="53" t="s">
        <v>14</v>
      </c>
      <c r="M11" s="53" t="s">
        <v>15</v>
      </c>
      <c r="N11" s="53" t="s">
        <v>16</v>
      </c>
      <c r="O11" s="37" t="s">
        <v>27</v>
      </c>
      <c r="P11" s="37" t="s">
        <v>28</v>
      </c>
      <c r="Q11" s="37" t="s">
        <v>17</v>
      </c>
      <c r="R11" s="37" t="s">
        <v>29</v>
      </c>
      <c r="S11" s="37" t="s">
        <v>18</v>
      </c>
      <c r="T11" s="18"/>
      <c r="U11" s="12"/>
      <c r="V11" s="128" t="s">
        <v>48</v>
      </c>
      <c r="W11" s="129"/>
      <c r="X11" s="130"/>
    </row>
    <row r="12" spans="1:24" s="4" customFormat="1" ht="12.75" customHeight="1" x14ac:dyDescent="0.2">
      <c r="A12" s="15"/>
      <c r="B12" s="54" t="s">
        <v>19</v>
      </c>
      <c r="C12" s="114">
        <v>1</v>
      </c>
      <c r="D12" s="114">
        <v>1</v>
      </c>
      <c r="E12" s="114">
        <v>1</v>
      </c>
      <c r="F12" s="114">
        <v>1</v>
      </c>
      <c r="G12" s="114">
        <v>1</v>
      </c>
      <c r="H12" s="114">
        <v>1</v>
      </c>
      <c r="I12" s="114">
        <v>1</v>
      </c>
      <c r="J12" s="114">
        <v>1</v>
      </c>
      <c r="K12" s="114">
        <v>1</v>
      </c>
      <c r="L12" s="114">
        <v>1</v>
      </c>
      <c r="M12" s="114">
        <v>1</v>
      </c>
      <c r="N12" s="114">
        <v>1</v>
      </c>
      <c r="O12" s="115">
        <v>1</v>
      </c>
      <c r="P12" s="115">
        <v>1</v>
      </c>
      <c r="Q12" s="115">
        <v>1</v>
      </c>
      <c r="R12" s="115">
        <v>1</v>
      </c>
      <c r="S12" s="115">
        <v>1</v>
      </c>
      <c r="T12" s="18"/>
      <c r="U12" s="15"/>
      <c r="V12" s="92" t="s">
        <v>4</v>
      </c>
      <c r="W12" s="93">
        <v>170</v>
      </c>
      <c r="X12" s="118" t="s">
        <v>80</v>
      </c>
    </row>
    <row r="13" spans="1:24" s="3" customFormat="1" ht="15" x14ac:dyDescent="0.2">
      <c r="A13" s="12"/>
      <c r="B13" s="55" t="s">
        <v>62</v>
      </c>
      <c r="C13" s="56">
        <v>296</v>
      </c>
      <c r="D13" s="57">
        <v>800</v>
      </c>
      <c r="E13" s="56">
        <v>1140</v>
      </c>
      <c r="F13" s="56">
        <v>4050</v>
      </c>
      <c r="G13" s="56">
        <v>730</v>
      </c>
      <c r="H13" s="56">
        <v>6584</v>
      </c>
      <c r="I13" s="56">
        <v>273</v>
      </c>
      <c r="J13" s="56">
        <v>267</v>
      </c>
      <c r="K13" s="56">
        <v>607</v>
      </c>
      <c r="L13" s="56">
        <v>580</v>
      </c>
      <c r="M13" s="56">
        <v>714</v>
      </c>
      <c r="N13" s="56">
        <v>22</v>
      </c>
      <c r="O13" s="40">
        <v>42</v>
      </c>
      <c r="P13" s="40">
        <v>70</v>
      </c>
      <c r="Q13" s="41">
        <v>30</v>
      </c>
      <c r="R13" s="40">
        <v>3650</v>
      </c>
      <c r="S13" s="40">
        <v>2385</v>
      </c>
      <c r="T13" s="18"/>
      <c r="U13" s="12"/>
      <c r="V13" s="94" t="s">
        <v>61</v>
      </c>
      <c r="W13" s="35">
        <v>1500</v>
      </c>
      <c r="X13" s="119"/>
    </row>
    <row r="14" spans="1:24" s="3" customFormat="1" ht="16.5" thickBot="1" x14ac:dyDescent="0.3">
      <c r="A14" s="12"/>
      <c r="B14" s="55" t="s">
        <v>64</v>
      </c>
      <c r="C14" s="56">
        <v>4</v>
      </c>
      <c r="D14" s="56">
        <v>9</v>
      </c>
      <c r="E14" s="56">
        <v>23</v>
      </c>
      <c r="F14" s="56">
        <v>54</v>
      </c>
      <c r="G14" s="56">
        <v>11</v>
      </c>
      <c r="H14" s="56">
        <v>125</v>
      </c>
      <c r="I14" s="56">
        <v>5</v>
      </c>
      <c r="J14" s="56">
        <v>5</v>
      </c>
      <c r="K14" s="56">
        <v>10</v>
      </c>
      <c r="L14" s="56">
        <v>10</v>
      </c>
      <c r="M14" s="56">
        <v>16.399999999999999</v>
      </c>
      <c r="N14" s="56">
        <v>0.33</v>
      </c>
      <c r="O14" s="40">
        <v>0.8</v>
      </c>
      <c r="P14" s="40">
        <v>1</v>
      </c>
      <c r="Q14" s="40">
        <v>0.5</v>
      </c>
      <c r="R14" s="40">
        <v>58</v>
      </c>
      <c r="S14" s="40">
        <v>43</v>
      </c>
      <c r="T14" s="19"/>
      <c r="U14" s="12"/>
      <c r="V14" s="94" t="s">
        <v>63</v>
      </c>
      <c r="W14" s="35">
        <v>10000</v>
      </c>
      <c r="X14" s="119"/>
    </row>
    <row r="15" spans="1:24" s="3" customFormat="1" ht="15.75" x14ac:dyDescent="0.25">
      <c r="A15" s="63" t="s">
        <v>92</v>
      </c>
      <c r="B15" s="27" t="s">
        <v>53</v>
      </c>
      <c r="C15" s="100">
        <f>C12*C13/C14*$H$2</f>
        <v>74</v>
      </c>
      <c r="D15" s="100">
        <f t="shared" ref="D15:S15" si="0">D12*D13/D14*$H$2</f>
        <v>88.888888888888886</v>
      </c>
      <c r="E15" s="100">
        <f t="shared" si="0"/>
        <v>49.565217391304351</v>
      </c>
      <c r="F15" s="100">
        <f t="shared" si="0"/>
        <v>75</v>
      </c>
      <c r="G15" s="100">
        <f t="shared" si="0"/>
        <v>66.36363636363636</v>
      </c>
      <c r="H15" s="100">
        <f t="shared" si="0"/>
        <v>52.671999999999997</v>
      </c>
      <c r="I15" s="100">
        <f t="shared" si="0"/>
        <v>54.6</v>
      </c>
      <c r="J15" s="100">
        <f t="shared" si="0"/>
        <v>53.4</v>
      </c>
      <c r="K15" s="100">
        <f t="shared" si="0"/>
        <v>60.7</v>
      </c>
      <c r="L15" s="100">
        <f t="shared" si="0"/>
        <v>58</v>
      </c>
      <c r="M15" s="100">
        <f t="shared" si="0"/>
        <v>43.536585365853661</v>
      </c>
      <c r="N15" s="100">
        <f t="shared" si="0"/>
        <v>66.666666666666657</v>
      </c>
      <c r="O15" s="100">
        <f t="shared" si="0"/>
        <v>52.5</v>
      </c>
      <c r="P15" s="100">
        <f t="shared" si="0"/>
        <v>70</v>
      </c>
      <c r="Q15" s="100">
        <f t="shared" si="0"/>
        <v>60</v>
      </c>
      <c r="R15" s="100">
        <f t="shared" si="0"/>
        <v>62.931034482758619</v>
      </c>
      <c r="S15" s="100">
        <f t="shared" si="0"/>
        <v>55.465116279069768</v>
      </c>
      <c r="T15" s="20"/>
      <c r="U15" s="12"/>
      <c r="V15" s="94" t="s">
        <v>65</v>
      </c>
      <c r="W15" s="35">
        <v>1700</v>
      </c>
      <c r="X15" s="119"/>
    </row>
    <row r="16" spans="1:24" s="3" customFormat="1" ht="12.75" customHeight="1" x14ac:dyDescent="0.2">
      <c r="A16" s="38" t="s">
        <v>109</v>
      </c>
      <c r="B16" s="29" t="s">
        <v>108</v>
      </c>
      <c r="C16" s="101">
        <f>((C15*$W$12)/($W$13*$W$14*$C$9))*1000</f>
        <v>16.773333333333333</v>
      </c>
      <c r="D16" s="101">
        <f>((D15*$W$12)/($W$13*$W$14*$C$9))*1000</f>
        <v>20.148148148148149</v>
      </c>
      <c r="E16" s="101">
        <f t="shared" ref="E16:S16" si="1">((E15*$W$12)/($W$13*$W$14*$C$9))*1000</f>
        <v>11.234782608695653</v>
      </c>
      <c r="F16" s="101">
        <f t="shared" si="1"/>
        <v>17</v>
      </c>
      <c r="G16" s="101">
        <f t="shared" si="1"/>
        <v>15.042424242424243</v>
      </c>
      <c r="H16" s="101">
        <f t="shared" si="1"/>
        <v>11.938986666666667</v>
      </c>
      <c r="I16" s="101">
        <f t="shared" si="1"/>
        <v>12.375999999999999</v>
      </c>
      <c r="J16" s="101">
        <f t="shared" si="1"/>
        <v>12.104000000000001</v>
      </c>
      <c r="K16" s="101">
        <f t="shared" si="1"/>
        <v>13.758666666666667</v>
      </c>
      <c r="L16" s="101">
        <f t="shared" si="1"/>
        <v>13.146666666666667</v>
      </c>
      <c r="M16" s="101">
        <f t="shared" si="1"/>
        <v>9.86829268292683</v>
      </c>
      <c r="N16" s="101">
        <f t="shared" si="1"/>
        <v>15.111111111111111</v>
      </c>
      <c r="O16" s="101">
        <f t="shared" si="1"/>
        <v>11.9</v>
      </c>
      <c r="P16" s="101">
        <f t="shared" si="1"/>
        <v>15.866666666666667</v>
      </c>
      <c r="Q16" s="101">
        <f t="shared" si="1"/>
        <v>13.6</v>
      </c>
      <c r="R16" s="101">
        <f t="shared" si="1"/>
        <v>14.264367816091955</v>
      </c>
      <c r="S16" s="101">
        <f t="shared" si="1"/>
        <v>12.572093023255814</v>
      </c>
      <c r="T16" s="21"/>
      <c r="U16" s="12"/>
      <c r="V16" s="94" t="s">
        <v>66</v>
      </c>
      <c r="W16" s="35">
        <v>8.3140000000000001</v>
      </c>
      <c r="X16" s="119"/>
    </row>
    <row r="17" spans="1:24" s="3" customFormat="1" ht="13.5" thickBot="1" x14ac:dyDescent="0.25">
      <c r="A17" s="25"/>
      <c r="B17" s="29" t="s">
        <v>52</v>
      </c>
      <c r="C17" s="101">
        <f>C16*EXP((-LN(2)*365)/$C$6)</f>
        <v>3.8770679336168275E-4</v>
      </c>
      <c r="D17" s="101">
        <f>D16*EXP((-LN(2)*365)/$C$6)</f>
        <v>4.6571386589991924E-4</v>
      </c>
      <c r="E17" s="101">
        <f t="shared" ref="E17:S17" si="2">E16*EXP((-LN(2)*365)/$C$6)</f>
        <v>2.5968610131158539E-4</v>
      </c>
      <c r="F17" s="101">
        <f t="shared" si="2"/>
        <v>3.9294607435305683E-4</v>
      </c>
      <c r="G17" s="101">
        <f t="shared" si="2"/>
        <v>3.4769773851846242E-4</v>
      </c>
      <c r="H17" s="101">
        <f t="shared" si="2"/>
        <v>2.7596340837765613E-4</v>
      </c>
      <c r="I17" s="101">
        <f t="shared" si="2"/>
        <v>2.8606474212902538E-4</v>
      </c>
      <c r="J17" s="101">
        <f t="shared" si="2"/>
        <v>2.7977760493937647E-4</v>
      </c>
      <c r="K17" s="101">
        <f t="shared" si="2"/>
        <v>3.180243561764073E-4</v>
      </c>
      <c r="L17" s="101">
        <f t="shared" si="2"/>
        <v>3.0387829749969729E-4</v>
      </c>
      <c r="M17" s="101">
        <f t="shared" si="2"/>
        <v>2.2810040413665252E-4</v>
      </c>
      <c r="N17" s="101">
        <f t="shared" si="2"/>
        <v>3.4928539942493937E-4</v>
      </c>
      <c r="O17" s="101">
        <f t="shared" si="2"/>
        <v>2.750622520471398E-4</v>
      </c>
      <c r="P17" s="101">
        <f t="shared" si="2"/>
        <v>3.6674966939618636E-4</v>
      </c>
      <c r="Q17" s="101">
        <f t="shared" si="2"/>
        <v>3.1435685948244546E-4</v>
      </c>
      <c r="R17" s="101">
        <f t="shared" si="2"/>
        <v>3.2971337273302471E-4</v>
      </c>
      <c r="S17" s="101">
        <f t="shared" si="2"/>
        <v>2.9059732940528389E-4</v>
      </c>
      <c r="T17" s="15"/>
      <c r="U17" s="12"/>
      <c r="V17" s="94" t="s">
        <v>5</v>
      </c>
      <c r="W17" s="35">
        <v>285</v>
      </c>
      <c r="X17" s="119"/>
    </row>
    <row r="18" spans="1:24" s="3" customFormat="1" ht="15.75" x14ac:dyDescent="0.25">
      <c r="A18" s="25" t="s">
        <v>111</v>
      </c>
      <c r="B18" s="30" t="s">
        <v>82</v>
      </c>
      <c r="C18" s="100">
        <f>(C16-C17)/C16</f>
        <v>0.99997688552503805</v>
      </c>
      <c r="D18" s="100">
        <f t="shared" ref="D18:S18" si="3">(D16-D17)/D16</f>
        <v>0.99997688552503805</v>
      </c>
      <c r="E18" s="100">
        <f t="shared" si="3"/>
        <v>0.99997688552503794</v>
      </c>
      <c r="F18" s="100">
        <f t="shared" si="3"/>
        <v>0.99997688552503805</v>
      </c>
      <c r="G18" s="100">
        <f t="shared" si="3"/>
        <v>0.99997688552503805</v>
      </c>
      <c r="H18" s="100">
        <f t="shared" si="3"/>
        <v>0.99997688552503805</v>
      </c>
      <c r="I18" s="100">
        <f t="shared" si="3"/>
        <v>0.99997688552503805</v>
      </c>
      <c r="J18" s="100">
        <f t="shared" si="3"/>
        <v>0.99997688552503805</v>
      </c>
      <c r="K18" s="100">
        <f t="shared" si="3"/>
        <v>0.99997688552503805</v>
      </c>
      <c r="L18" s="100">
        <f t="shared" si="3"/>
        <v>0.99997688552503805</v>
      </c>
      <c r="M18" s="100">
        <f t="shared" si="3"/>
        <v>0.99997688552503805</v>
      </c>
      <c r="N18" s="100">
        <f t="shared" si="3"/>
        <v>0.99997688552503805</v>
      </c>
      <c r="O18" s="100">
        <f t="shared" si="3"/>
        <v>0.99997688552503805</v>
      </c>
      <c r="P18" s="100">
        <f t="shared" si="3"/>
        <v>0.99997688552503805</v>
      </c>
      <c r="Q18" s="100">
        <f t="shared" si="3"/>
        <v>0.99997688552503805</v>
      </c>
      <c r="R18" s="100">
        <f t="shared" si="3"/>
        <v>0.99997688552503816</v>
      </c>
      <c r="S18" s="100">
        <f t="shared" si="3"/>
        <v>0.99997688552503805</v>
      </c>
      <c r="T18" s="15"/>
      <c r="U18" s="12"/>
      <c r="V18" s="94" t="s">
        <v>67</v>
      </c>
      <c r="W18" s="35">
        <v>0.6</v>
      </c>
      <c r="X18" s="119"/>
    </row>
    <row r="19" spans="1:24" s="3" customFormat="1" ht="14.25" x14ac:dyDescent="0.25">
      <c r="B19" s="29" t="s">
        <v>23</v>
      </c>
      <c r="C19" s="101">
        <f t="shared" ref="C19:S19" si="4">C16/C18</f>
        <v>16.77372104908854</v>
      </c>
      <c r="D19" s="101">
        <f t="shared" si="4"/>
        <v>20.14861387277903</v>
      </c>
      <c r="E19" s="101">
        <f t="shared" si="4"/>
        <v>11.235042300799613</v>
      </c>
      <c r="F19" s="101">
        <f t="shared" si="4"/>
        <v>17.000392955157306</v>
      </c>
      <c r="G19" s="101">
        <f t="shared" si="4"/>
        <v>15.042771948199798</v>
      </c>
      <c r="H19" s="101">
        <f t="shared" si="4"/>
        <v>11.939262636453941</v>
      </c>
      <c r="I19" s="101">
        <f t="shared" si="4"/>
        <v>12.376286071354517</v>
      </c>
      <c r="J19" s="101">
        <f t="shared" si="4"/>
        <v>12.104279784072002</v>
      </c>
      <c r="K19" s="101">
        <f t="shared" si="4"/>
        <v>13.758984698373979</v>
      </c>
      <c r="L19" s="101">
        <f t="shared" si="4"/>
        <v>13.146970551988316</v>
      </c>
      <c r="M19" s="101">
        <f t="shared" si="4"/>
        <v>9.8685207886035098</v>
      </c>
      <c r="N19" s="101">
        <f t="shared" si="4"/>
        <v>15.111460404584271</v>
      </c>
      <c r="O19" s="101">
        <f t="shared" si="4"/>
        <v>11.900275068610114</v>
      </c>
      <c r="P19" s="101">
        <f t="shared" si="4"/>
        <v>15.867033424813485</v>
      </c>
      <c r="Q19" s="101">
        <f t="shared" si="4"/>
        <v>13.600314364125843</v>
      </c>
      <c r="R19" s="101">
        <f t="shared" si="4"/>
        <v>14.264697537086015</v>
      </c>
      <c r="S19" s="101">
        <f t="shared" si="4"/>
        <v>12.572383627302379</v>
      </c>
      <c r="T19" s="22"/>
      <c r="U19" s="12"/>
      <c r="V19" s="94" t="s">
        <v>68</v>
      </c>
      <c r="W19" s="35">
        <v>0.2</v>
      </c>
      <c r="X19" s="119"/>
    </row>
    <row r="20" spans="1:24" s="3" customFormat="1" ht="14.25" x14ac:dyDescent="0.25">
      <c r="A20" s="25"/>
      <c r="B20" s="29" t="s">
        <v>21</v>
      </c>
      <c r="C20" s="101">
        <f>C15*$W$12/($W$15*$W$14*$C$10)*1000</f>
        <v>3.7</v>
      </c>
      <c r="D20" s="101">
        <f>D15*$W$12/($W$15*$W$14*$C$10)*1000</f>
        <v>4.4444444444444446</v>
      </c>
      <c r="E20" s="101">
        <f t="shared" ref="E20:S20" si="5">E15*$W$12/($W$15*$W$14*$C$10)*1000</f>
        <v>2.4782608695652173</v>
      </c>
      <c r="F20" s="101">
        <f t="shared" si="5"/>
        <v>3.75</v>
      </c>
      <c r="G20" s="101">
        <f t="shared" si="5"/>
        <v>3.3181818181818183</v>
      </c>
      <c r="H20" s="101">
        <f t="shared" si="5"/>
        <v>2.6335999999999999</v>
      </c>
      <c r="I20" s="101">
        <f t="shared" si="5"/>
        <v>2.73</v>
      </c>
      <c r="J20" s="101">
        <f t="shared" si="5"/>
        <v>2.67</v>
      </c>
      <c r="K20" s="101">
        <f t="shared" si="5"/>
        <v>3.0350000000000001</v>
      </c>
      <c r="L20" s="101">
        <f t="shared" si="5"/>
        <v>2.9</v>
      </c>
      <c r="M20" s="101">
        <f t="shared" si="5"/>
        <v>2.1768292682926833</v>
      </c>
      <c r="N20" s="101">
        <f t="shared" si="5"/>
        <v>3.333333333333333</v>
      </c>
      <c r="O20" s="101">
        <f t="shared" si="5"/>
        <v>2.625</v>
      </c>
      <c r="P20" s="101">
        <f t="shared" si="5"/>
        <v>3.5</v>
      </c>
      <c r="Q20" s="101">
        <f t="shared" si="5"/>
        <v>3</v>
      </c>
      <c r="R20" s="101">
        <f t="shared" si="5"/>
        <v>3.146551724137931</v>
      </c>
      <c r="S20" s="101">
        <f t="shared" si="5"/>
        <v>2.7732558139534884</v>
      </c>
      <c r="T20" s="22"/>
      <c r="U20" s="12"/>
      <c r="V20" s="94" t="s">
        <v>69</v>
      </c>
      <c r="W20" s="35">
        <v>0.2</v>
      </c>
      <c r="X20" s="119"/>
    </row>
    <row r="21" spans="1:24" s="3" customFormat="1" ht="14.25" x14ac:dyDescent="0.25">
      <c r="A21" s="25"/>
      <c r="B21" s="29" t="s">
        <v>22</v>
      </c>
      <c r="C21" s="101">
        <f t="shared" ref="C21:S21" si="6">C20/C18</f>
        <v>3.7000855255342371</v>
      </c>
      <c r="D21" s="101">
        <f t="shared" si="6"/>
        <v>4.4445471778189036</v>
      </c>
      <c r="E21" s="101">
        <f t="shared" si="6"/>
        <v>2.4783181545881496</v>
      </c>
      <c r="F21" s="101">
        <f t="shared" si="6"/>
        <v>3.7500866812846998</v>
      </c>
      <c r="G21" s="101">
        <f t="shared" si="6"/>
        <v>3.3182585179852495</v>
      </c>
      <c r="H21" s="101">
        <f t="shared" si="6"/>
        <v>2.6336608756883693</v>
      </c>
      <c r="I21" s="101">
        <f t="shared" si="6"/>
        <v>2.7300631039752612</v>
      </c>
      <c r="J21" s="101">
        <f t="shared" si="6"/>
        <v>2.6700617170747063</v>
      </c>
      <c r="K21" s="101">
        <f t="shared" si="6"/>
        <v>3.0350701540530838</v>
      </c>
      <c r="L21" s="101">
        <f t="shared" si="6"/>
        <v>2.9000670335268341</v>
      </c>
      <c r="M21" s="101">
        <f t="shared" si="6"/>
        <v>2.1768795857213625</v>
      </c>
      <c r="N21" s="101">
        <f t="shared" si="6"/>
        <v>3.3334103833641771</v>
      </c>
      <c r="O21" s="101">
        <f t="shared" si="6"/>
        <v>2.6250606768992899</v>
      </c>
      <c r="P21" s="101">
        <f t="shared" si="6"/>
        <v>3.5000809025323862</v>
      </c>
      <c r="Q21" s="101">
        <f t="shared" si="6"/>
        <v>3.0000693450277596</v>
      </c>
      <c r="R21" s="101">
        <f t="shared" si="6"/>
        <v>3.1466244567101498</v>
      </c>
      <c r="S21" s="101">
        <f t="shared" si="6"/>
        <v>2.7733199177872896</v>
      </c>
      <c r="T21" s="15"/>
      <c r="U21" s="12"/>
      <c r="V21" s="94" t="s">
        <v>70</v>
      </c>
      <c r="W21" s="35">
        <v>0.02</v>
      </c>
      <c r="X21" s="119"/>
    </row>
    <row r="22" spans="1:24" s="3" customFormat="1" ht="12.75" customHeight="1" x14ac:dyDescent="0.25">
      <c r="A22" s="25"/>
      <c r="B22" s="29" t="s">
        <v>50</v>
      </c>
      <c r="C22" s="101">
        <f>C20*$W$15/($W$29*1000)</f>
        <v>0.34560439560439282</v>
      </c>
      <c r="D22" s="101">
        <f>D20*$W$15/($W$29*1000)</f>
        <v>0.41514041514041183</v>
      </c>
      <c r="E22" s="101">
        <f t="shared" ref="E22:S22" si="7">E20*$W$15/($W$29*1000)</f>
        <v>0.23148590539894701</v>
      </c>
      <c r="F22" s="101">
        <f t="shared" si="7"/>
        <v>0.35027472527472248</v>
      </c>
      <c r="G22" s="101">
        <f t="shared" si="7"/>
        <v>0.30994005994005747</v>
      </c>
      <c r="H22" s="101">
        <f t="shared" si="7"/>
        <v>0.24599560439560242</v>
      </c>
      <c r="I22" s="101">
        <f t="shared" si="7"/>
        <v>0.25499999999999795</v>
      </c>
      <c r="J22" s="101">
        <f t="shared" si="7"/>
        <v>0.2493956043956024</v>
      </c>
      <c r="K22" s="101">
        <f t="shared" si="7"/>
        <v>0.28348901098900875</v>
      </c>
      <c r="L22" s="101">
        <f t="shared" si="7"/>
        <v>0.2708791208791187</v>
      </c>
      <c r="M22" s="101">
        <f t="shared" si="7"/>
        <v>0.20333020637898527</v>
      </c>
      <c r="N22" s="101">
        <f t="shared" si="7"/>
        <v>0.31135531135530881</v>
      </c>
      <c r="O22" s="101">
        <f t="shared" si="7"/>
        <v>0.24519230769230574</v>
      </c>
      <c r="P22" s="101">
        <f t="shared" si="7"/>
        <v>0.32692307692307432</v>
      </c>
      <c r="Q22" s="101">
        <f t="shared" si="7"/>
        <v>0.280219780219778</v>
      </c>
      <c r="R22" s="101">
        <f t="shared" si="7"/>
        <v>0.29390867752936484</v>
      </c>
      <c r="S22" s="101">
        <f t="shared" si="7"/>
        <v>0.25904037822642267</v>
      </c>
      <c r="T22" s="15"/>
      <c r="U22" s="12"/>
      <c r="V22" s="94" t="s">
        <v>71</v>
      </c>
      <c r="W22" s="35">
        <v>2500</v>
      </c>
      <c r="X22" s="119"/>
    </row>
    <row r="23" spans="1:24" s="3" customFormat="1" ht="15.75" x14ac:dyDescent="0.25">
      <c r="A23" s="25"/>
      <c r="B23" s="29" t="s">
        <v>3</v>
      </c>
      <c r="C23" s="101">
        <f>C22/3</f>
        <v>0.11520146520146428</v>
      </c>
      <c r="D23" s="101">
        <f t="shared" ref="D23:S23" si="8">D22/3</f>
        <v>0.13838013838013727</v>
      </c>
      <c r="E23" s="101">
        <f t="shared" si="8"/>
        <v>7.7161968466315664E-2</v>
      </c>
      <c r="F23" s="101">
        <f t="shared" si="8"/>
        <v>0.11675824175824083</v>
      </c>
      <c r="G23" s="101">
        <f t="shared" si="8"/>
        <v>0.10331335331335249</v>
      </c>
      <c r="H23" s="101">
        <f t="shared" si="8"/>
        <v>8.199853479853414E-2</v>
      </c>
      <c r="I23" s="101">
        <f t="shared" si="8"/>
        <v>8.4999999999999312E-2</v>
      </c>
      <c r="J23" s="101">
        <f t="shared" si="8"/>
        <v>8.3131868131867473E-2</v>
      </c>
      <c r="K23" s="101">
        <f t="shared" si="8"/>
        <v>9.449633699633625E-2</v>
      </c>
      <c r="L23" s="101">
        <f t="shared" si="8"/>
        <v>9.029304029303957E-2</v>
      </c>
      <c r="M23" s="101">
        <f t="shared" si="8"/>
        <v>6.7776735459661758E-2</v>
      </c>
      <c r="N23" s="101">
        <f t="shared" si="8"/>
        <v>0.10378510378510293</v>
      </c>
      <c r="O23" s="101">
        <f t="shared" si="8"/>
        <v>8.173076923076858E-2</v>
      </c>
      <c r="P23" s="101">
        <f t="shared" si="8"/>
        <v>0.1089743589743581</v>
      </c>
      <c r="Q23" s="101">
        <f t="shared" si="8"/>
        <v>9.3406593406592672E-2</v>
      </c>
      <c r="R23" s="101">
        <f t="shared" si="8"/>
        <v>9.7969559176454946E-2</v>
      </c>
      <c r="S23" s="101">
        <f t="shared" si="8"/>
        <v>8.6346792742140896E-2</v>
      </c>
      <c r="T23" s="15"/>
      <c r="U23" s="12"/>
      <c r="V23" s="94" t="s">
        <v>72</v>
      </c>
      <c r="W23" s="35">
        <v>1150</v>
      </c>
      <c r="X23" s="119"/>
    </row>
    <row r="24" spans="1:24" s="3" customFormat="1" x14ac:dyDescent="0.2">
      <c r="A24" s="25"/>
      <c r="B24" s="29" t="s">
        <v>2</v>
      </c>
      <c r="C24" s="101">
        <f>C20*$W$15/(C18*$W$29*1000)</f>
        <v>0.34561238425319518</v>
      </c>
      <c r="D24" s="101">
        <f t="shared" ref="D24:S24" si="9">D20*$W$15/(D18*$W$29*1000)</f>
        <v>0.4151500111149492</v>
      </c>
      <c r="E24" s="101">
        <f t="shared" si="9"/>
        <v>0.23149125619779232</v>
      </c>
      <c r="F24" s="101">
        <f t="shared" si="9"/>
        <v>0.35028282187823834</v>
      </c>
      <c r="G24" s="101">
        <f t="shared" si="9"/>
        <v>0.30994722420741094</v>
      </c>
      <c r="H24" s="101">
        <f t="shared" si="9"/>
        <v>0.24600129058627426</v>
      </c>
      <c r="I24" s="101">
        <f t="shared" si="9"/>
        <v>0.25500589432735754</v>
      </c>
      <c r="J24" s="101">
        <f t="shared" si="9"/>
        <v>0.24940136917730571</v>
      </c>
      <c r="K24" s="101">
        <f t="shared" si="9"/>
        <v>0.28349556384012092</v>
      </c>
      <c r="L24" s="101">
        <f t="shared" si="9"/>
        <v>0.27088538225250436</v>
      </c>
      <c r="M24" s="101">
        <f t="shared" si="9"/>
        <v>0.2033349063585872</v>
      </c>
      <c r="N24" s="101">
        <f t="shared" si="9"/>
        <v>0.31136250833621182</v>
      </c>
      <c r="O24" s="101">
        <f t="shared" si="9"/>
        <v>0.24519797531476686</v>
      </c>
      <c r="P24" s="101">
        <f t="shared" si="9"/>
        <v>0.32693063375302245</v>
      </c>
      <c r="Q24" s="101">
        <f t="shared" si="9"/>
        <v>0.28022625750259067</v>
      </c>
      <c r="R24" s="101">
        <f t="shared" si="9"/>
        <v>0.29391547123116546</v>
      </c>
      <c r="S24" s="101">
        <f t="shared" si="9"/>
        <v>0.25904636594716235</v>
      </c>
      <c r="T24" s="15"/>
      <c r="U24" s="12"/>
      <c r="V24" s="94" t="s">
        <v>24</v>
      </c>
      <c r="W24" s="35">
        <v>0.9</v>
      </c>
      <c r="X24" s="119"/>
    </row>
    <row r="25" spans="1:24" s="3" customFormat="1" ht="15" x14ac:dyDescent="0.2">
      <c r="A25" s="25"/>
      <c r="B25" s="29" t="s">
        <v>88</v>
      </c>
      <c r="C25" s="101">
        <f>C24/3</f>
        <v>0.11520412808439839</v>
      </c>
      <c r="D25" s="101">
        <f t="shared" ref="D25:S25" si="10">D24/3</f>
        <v>0.1383833370383164</v>
      </c>
      <c r="E25" s="101">
        <f t="shared" si="10"/>
        <v>7.7163752065930777E-2</v>
      </c>
      <c r="F25" s="101">
        <f t="shared" si="10"/>
        <v>0.11676094062607945</v>
      </c>
      <c r="G25" s="101">
        <f t="shared" si="10"/>
        <v>0.10331574140247031</v>
      </c>
      <c r="H25" s="101">
        <f t="shared" si="10"/>
        <v>8.2000430195424759E-2</v>
      </c>
      <c r="I25" s="101">
        <f t="shared" si="10"/>
        <v>8.5001964775785852E-2</v>
      </c>
      <c r="J25" s="101">
        <f t="shared" si="10"/>
        <v>8.313378972576857E-2</v>
      </c>
      <c r="K25" s="101">
        <f t="shared" si="10"/>
        <v>9.4498521280040312E-2</v>
      </c>
      <c r="L25" s="101">
        <f t="shared" si="10"/>
        <v>9.0295127417501453E-2</v>
      </c>
      <c r="M25" s="101">
        <f t="shared" si="10"/>
        <v>6.7778302119529066E-2</v>
      </c>
      <c r="N25" s="101">
        <f t="shared" si="10"/>
        <v>0.10378750277873727</v>
      </c>
      <c r="O25" s="101">
        <f t="shared" si="10"/>
        <v>8.1732658438255626E-2</v>
      </c>
      <c r="P25" s="101">
        <f t="shared" si="10"/>
        <v>0.10897687791767414</v>
      </c>
      <c r="Q25" s="101">
        <f t="shared" si="10"/>
        <v>9.3408752500863557E-2</v>
      </c>
      <c r="R25" s="101">
        <f t="shared" si="10"/>
        <v>9.797182374372182E-2</v>
      </c>
      <c r="S25" s="101">
        <f t="shared" si="10"/>
        <v>8.6348788649054112E-2</v>
      </c>
      <c r="T25" s="15"/>
      <c r="U25" s="12"/>
      <c r="V25" s="94" t="s">
        <v>73</v>
      </c>
      <c r="W25" s="35">
        <v>1000</v>
      </c>
      <c r="X25" s="119"/>
    </row>
    <row r="26" spans="1:24" s="3" customFormat="1" x14ac:dyDescent="0.2">
      <c r="A26" s="25"/>
      <c r="B26" s="29" t="s">
        <v>87</v>
      </c>
      <c r="C26" s="101">
        <f t="shared" ref="C26:S26" si="11">($W$32/$W$23)*C23*$W$25*($W$23/($W$26*$W$22))</f>
        <v>7.3268131868131281</v>
      </c>
      <c r="D26" s="101">
        <f t="shared" si="11"/>
        <v>8.8009768009767306</v>
      </c>
      <c r="E26" s="101">
        <f t="shared" si="11"/>
        <v>4.9075011944576765</v>
      </c>
      <c r="F26" s="101">
        <f t="shared" si="11"/>
        <v>7.4258241758241166</v>
      </c>
      <c r="G26" s="101">
        <f t="shared" si="11"/>
        <v>6.5707292707292178</v>
      </c>
      <c r="H26" s="101">
        <f t="shared" si="11"/>
        <v>5.2151068131867708</v>
      </c>
      <c r="I26" s="101">
        <f t="shared" si="11"/>
        <v>5.4059999999999562</v>
      </c>
      <c r="J26" s="101">
        <f t="shared" si="11"/>
        <v>5.2871868131867714</v>
      </c>
      <c r="K26" s="101">
        <f t="shared" si="11"/>
        <v>6.0099670329669852</v>
      </c>
      <c r="L26" s="101">
        <f t="shared" si="11"/>
        <v>5.7426373626373177</v>
      </c>
      <c r="M26" s="101">
        <f t="shared" si="11"/>
        <v>4.3106003752344879</v>
      </c>
      <c r="N26" s="101">
        <f t="shared" si="11"/>
        <v>6.6007326007325462</v>
      </c>
      <c r="O26" s="101">
        <f t="shared" si="11"/>
        <v>5.198076923076882</v>
      </c>
      <c r="P26" s="101">
        <f t="shared" si="11"/>
        <v>6.9307692307691751</v>
      </c>
      <c r="Q26" s="101">
        <f t="shared" si="11"/>
        <v>5.9406593406592938</v>
      </c>
      <c r="R26" s="101">
        <f t="shared" si="11"/>
        <v>6.230863963622534</v>
      </c>
      <c r="S26" s="101">
        <f t="shared" si="11"/>
        <v>5.4916560184001604</v>
      </c>
      <c r="T26" s="15"/>
      <c r="U26" s="12"/>
      <c r="V26" s="94" t="s">
        <v>26</v>
      </c>
      <c r="W26" s="35">
        <v>0.1</v>
      </c>
      <c r="X26" s="119"/>
    </row>
    <row r="27" spans="1:24" s="3" customFormat="1" ht="13.5" thickBot="1" x14ac:dyDescent="0.25">
      <c r="A27" s="25"/>
      <c r="B27" s="29" t="s">
        <v>89</v>
      </c>
      <c r="C27" s="101">
        <f t="shared" ref="C27:S27" si="12">($W$32/$W$23)*C25*$W$25*($W$23/($W$26*$W$22))</f>
        <v>7.3269825461677378</v>
      </c>
      <c r="D27" s="101">
        <f t="shared" si="12"/>
        <v>8.801180235636922</v>
      </c>
      <c r="E27" s="101">
        <f t="shared" si="12"/>
        <v>4.907614631393197</v>
      </c>
      <c r="F27" s="101">
        <f t="shared" si="12"/>
        <v>7.4259958238186519</v>
      </c>
      <c r="G27" s="101">
        <f t="shared" si="12"/>
        <v>6.5708811531971119</v>
      </c>
      <c r="H27" s="101">
        <f t="shared" si="12"/>
        <v>5.2152273604290151</v>
      </c>
      <c r="I27" s="101">
        <f t="shared" si="12"/>
        <v>5.4061249597399801</v>
      </c>
      <c r="J27" s="101">
        <f t="shared" si="12"/>
        <v>5.2873090265588809</v>
      </c>
      <c r="K27" s="101">
        <f t="shared" si="12"/>
        <v>6.0101059534105641</v>
      </c>
      <c r="L27" s="101">
        <f t="shared" si="12"/>
        <v>5.7427701037530925</v>
      </c>
      <c r="M27" s="101">
        <f t="shared" si="12"/>
        <v>4.3107000148020491</v>
      </c>
      <c r="N27" s="101">
        <f t="shared" si="12"/>
        <v>6.600885176727691</v>
      </c>
      <c r="O27" s="101">
        <f t="shared" si="12"/>
        <v>5.1981970766730576</v>
      </c>
      <c r="P27" s="101">
        <f t="shared" si="12"/>
        <v>6.9309294355640754</v>
      </c>
      <c r="Q27" s="101">
        <f t="shared" si="12"/>
        <v>5.9407966590549224</v>
      </c>
      <c r="R27" s="101">
        <f t="shared" si="12"/>
        <v>6.2310079901007072</v>
      </c>
      <c r="S27" s="101">
        <f t="shared" si="12"/>
        <v>5.491782958079841</v>
      </c>
      <c r="T27" s="15"/>
      <c r="U27" s="12"/>
      <c r="V27" s="95" t="s">
        <v>25</v>
      </c>
      <c r="W27" s="96">
        <v>0.1</v>
      </c>
      <c r="X27" s="120"/>
    </row>
    <row r="28" spans="1:24" s="3" customFormat="1" ht="15.75" customHeight="1" x14ac:dyDescent="0.25">
      <c r="A28" s="25"/>
      <c r="B28" s="29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2"/>
      <c r="Q28" s="102"/>
      <c r="R28" s="102"/>
      <c r="S28" s="102"/>
      <c r="T28" s="18"/>
      <c r="U28" s="12"/>
      <c r="V28" s="92" t="s">
        <v>74</v>
      </c>
      <c r="W28" s="93">
        <f>C5*W21</f>
        <v>12</v>
      </c>
      <c r="X28" s="121" t="s">
        <v>81</v>
      </c>
    </row>
    <row r="29" spans="1:24" s="3" customFormat="1" ht="25.5" thickBot="1" x14ac:dyDescent="0.3">
      <c r="A29" s="25"/>
      <c r="B29" s="34" t="s">
        <v>86</v>
      </c>
      <c r="C29" s="102">
        <f>C16*$C$9*1500/100000</f>
        <v>1.2579999999999999E-2</v>
      </c>
      <c r="D29" s="102">
        <f t="shared" ref="D29:S29" si="13">D16*$C$9*1500/100000</f>
        <v>1.5111111111111113E-2</v>
      </c>
      <c r="E29" s="102">
        <f t="shared" si="13"/>
        <v>8.4260869565217396E-3</v>
      </c>
      <c r="F29" s="102">
        <f t="shared" si="13"/>
        <v>1.2750000000000003E-2</v>
      </c>
      <c r="G29" s="102">
        <f t="shared" si="13"/>
        <v>1.1281818181818183E-2</v>
      </c>
      <c r="H29" s="102">
        <f t="shared" si="13"/>
        <v>8.9542400000000005E-3</v>
      </c>
      <c r="I29" s="102">
        <f t="shared" si="13"/>
        <v>9.2820000000000003E-3</v>
      </c>
      <c r="J29" s="102">
        <f t="shared" si="13"/>
        <v>9.078000000000001E-3</v>
      </c>
      <c r="K29" s="102">
        <f t="shared" si="13"/>
        <v>1.0319E-2</v>
      </c>
      <c r="L29" s="102">
        <f t="shared" si="13"/>
        <v>9.8600000000000007E-3</v>
      </c>
      <c r="M29" s="102">
        <f t="shared" si="13"/>
        <v>7.4012195121951228E-3</v>
      </c>
      <c r="N29" s="102">
        <f t="shared" si="13"/>
        <v>1.1333333333333332E-2</v>
      </c>
      <c r="O29" s="102">
        <f t="shared" si="13"/>
        <v>8.9250000000000006E-3</v>
      </c>
      <c r="P29" s="102">
        <f t="shared" si="13"/>
        <v>1.1900000000000003E-2</v>
      </c>
      <c r="Q29" s="102">
        <f t="shared" si="13"/>
        <v>1.0200000000000001E-2</v>
      </c>
      <c r="R29" s="102">
        <f t="shared" si="13"/>
        <v>1.0698275862068967E-2</v>
      </c>
      <c r="S29" s="102">
        <f t="shared" si="13"/>
        <v>9.4290697674418601E-3</v>
      </c>
      <c r="T29" s="23"/>
      <c r="U29" s="12"/>
      <c r="V29" s="94" t="s">
        <v>75</v>
      </c>
      <c r="W29" s="35">
        <f>(W20*W30)+W19+(W18*(W28/1000)*W22)</f>
        <v>18.200000000000145</v>
      </c>
      <c r="X29" s="122"/>
    </row>
    <row r="30" spans="1:24" s="3" customFormat="1" ht="15.75" x14ac:dyDescent="0.25">
      <c r="A30" s="25" t="s">
        <v>110</v>
      </c>
      <c r="B30" s="30" t="s">
        <v>44</v>
      </c>
      <c r="C30" s="103">
        <f t="shared" ref="C30:S30" si="14">C16/$H$3*(1-EXP(-LN(2)/$C$6*$H$4*$H$3))/(1-EXP(-LN(2)/$C$6*$H$4))</f>
        <v>8.4300462740998086</v>
      </c>
      <c r="D30" s="103">
        <f t="shared" si="14"/>
        <v>10.126181710630402</v>
      </c>
      <c r="E30" s="103">
        <f t="shared" si="14"/>
        <v>5.646446975601517</v>
      </c>
      <c r="F30" s="103">
        <f t="shared" si="14"/>
        <v>8.5439658183444003</v>
      </c>
      <c r="G30" s="103">
        <f t="shared" si="14"/>
        <v>7.5601152089592878</v>
      </c>
      <c r="H30" s="103">
        <f t="shared" si="14"/>
        <v>6.0003702344511503</v>
      </c>
      <c r="I30" s="103">
        <f t="shared" si="14"/>
        <v>6.220007115754723</v>
      </c>
      <c r="J30" s="103">
        <f t="shared" si="14"/>
        <v>6.0833036626612138</v>
      </c>
      <c r="K30" s="103">
        <f t="shared" si="14"/>
        <v>6.9149163356467342</v>
      </c>
      <c r="L30" s="103">
        <f t="shared" si="14"/>
        <v>6.6073335661863366</v>
      </c>
      <c r="M30" s="103">
        <f t="shared" si="14"/>
        <v>4.9596679628438229</v>
      </c>
      <c r="N30" s="103">
        <f t="shared" si="14"/>
        <v>7.5946362829728002</v>
      </c>
      <c r="O30" s="103">
        <f t="shared" si="14"/>
        <v>5.9807760728410804</v>
      </c>
      <c r="P30" s="103">
        <f t="shared" si="14"/>
        <v>7.9743680971214408</v>
      </c>
      <c r="Q30" s="103">
        <f t="shared" si="14"/>
        <v>6.83517265467552</v>
      </c>
      <c r="R30" s="103">
        <f t="shared" si="14"/>
        <v>7.169074767116566</v>
      </c>
      <c r="S30" s="103">
        <f t="shared" si="14"/>
        <v>6.3185607679849287</v>
      </c>
      <c r="T30" s="18"/>
      <c r="U30" s="12"/>
      <c r="V30" s="94" t="s">
        <v>76</v>
      </c>
      <c r="W30" s="35">
        <f>(C2*C3)/(C4*W16*W17)</f>
        <v>7.2308105682376102E-13</v>
      </c>
      <c r="X30" s="122"/>
    </row>
    <row r="31" spans="1:24" s="3" customFormat="1" ht="15.75" thickBot="1" x14ac:dyDescent="0.25">
      <c r="A31" s="26"/>
      <c r="B31" s="29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8"/>
      <c r="U31" s="12"/>
      <c r="V31" s="94" t="s">
        <v>77</v>
      </c>
      <c r="W31" s="35">
        <f>C5*W27</f>
        <v>60</v>
      </c>
      <c r="X31" s="122"/>
    </row>
    <row r="32" spans="1:24" s="3" customFormat="1" ht="16.5" thickBot="1" x14ac:dyDescent="0.3">
      <c r="A32" s="63" t="s">
        <v>93</v>
      </c>
      <c r="B32" s="30" t="s">
        <v>94</v>
      </c>
      <c r="C32" s="103">
        <f t="shared" ref="C32:S32" si="15">C15*EXP((-LN(2)/$H$5)*$H$6/2)*$W$12/($W$13*$W$14*$C$9)</f>
        <v>1.1066273011682008E-2</v>
      </c>
      <c r="D32" s="103">
        <f t="shared" si="15"/>
        <v>1.3292820434452859E-2</v>
      </c>
      <c r="E32" s="103">
        <f t="shared" si="15"/>
        <v>7.4121922639938239E-3</v>
      </c>
      <c r="F32" s="103">
        <f t="shared" si="15"/>
        <v>1.1215817241569601E-2</v>
      </c>
      <c r="G32" s="103">
        <f t="shared" si="15"/>
        <v>9.924298892540373E-3</v>
      </c>
      <c r="H32" s="103">
        <f t="shared" si="15"/>
        <v>7.8767936766393851E-3</v>
      </c>
      <c r="I32" s="103">
        <f t="shared" si="15"/>
        <v>8.1651149518626679E-3</v>
      </c>
      <c r="J32" s="103">
        <f t="shared" si="15"/>
        <v>7.9856618759975555E-3</v>
      </c>
      <c r="K32" s="103">
        <f t="shared" si="15"/>
        <v>9.077334754176998E-3</v>
      </c>
      <c r="L32" s="103">
        <f t="shared" si="15"/>
        <v>8.6735653334804926E-3</v>
      </c>
      <c r="M32" s="103">
        <f t="shared" si="15"/>
        <v>6.5106451304721095E-3</v>
      </c>
      <c r="N32" s="103">
        <f t="shared" si="15"/>
        <v>9.9696153258396428E-3</v>
      </c>
      <c r="O32" s="103">
        <f t="shared" si="15"/>
        <v>7.8510720690987204E-3</v>
      </c>
      <c r="P32" s="103">
        <f t="shared" si="15"/>
        <v>1.0468096092131627E-2</v>
      </c>
      <c r="Q32" s="103">
        <f t="shared" si="15"/>
        <v>8.9726537932556805E-3</v>
      </c>
      <c r="R32" s="103">
        <f t="shared" si="15"/>
        <v>9.4109730877538038E-3</v>
      </c>
      <c r="S32" s="103">
        <f t="shared" si="15"/>
        <v>8.2944880995793804E-3</v>
      </c>
      <c r="T32" s="18"/>
      <c r="U32" s="12"/>
      <c r="V32" s="95" t="s">
        <v>78</v>
      </c>
      <c r="W32" s="96">
        <f>W24+(W26*(W31/W25)*W22)</f>
        <v>15.9</v>
      </c>
      <c r="X32" s="123"/>
    </row>
    <row r="33" spans="1:24" s="3" customFormat="1" x14ac:dyDescent="0.2">
      <c r="A33" s="25" t="s">
        <v>112</v>
      </c>
      <c r="B33" s="29" t="s">
        <v>90</v>
      </c>
      <c r="C33" s="101">
        <f t="shared" ref="C33:S33" si="16">C15*EXP((-LN(2)/$H$5)*$H$6/2)*$W$12/($W$15*$W$14*$C$10)*1000</f>
        <v>2.4410896349298543</v>
      </c>
      <c r="D33" s="101">
        <f t="shared" si="16"/>
        <v>2.9322398017175422</v>
      </c>
      <c r="E33" s="101">
        <f t="shared" si="16"/>
        <v>1.6350424111751083</v>
      </c>
      <c r="F33" s="101">
        <f t="shared" si="16"/>
        <v>2.4740773326991765</v>
      </c>
      <c r="G33" s="101">
        <f t="shared" si="16"/>
        <v>2.1891835792368473</v>
      </c>
      <c r="H33" s="101">
        <f t="shared" si="16"/>
        <v>1.737528016905747</v>
      </c>
      <c r="I33" s="101">
        <f t="shared" si="16"/>
        <v>1.8011282982050003</v>
      </c>
      <c r="J33" s="101">
        <f t="shared" si="16"/>
        <v>1.7615430608818139</v>
      </c>
      <c r="K33" s="101">
        <f t="shared" si="16"/>
        <v>2.0023532545978671</v>
      </c>
      <c r="L33" s="101">
        <f t="shared" si="16"/>
        <v>1.9132864706206969</v>
      </c>
      <c r="M33" s="101">
        <f t="shared" si="16"/>
        <v>1.4361717199570831</v>
      </c>
      <c r="N33" s="101">
        <f t="shared" si="16"/>
        <v>2.1991798512881564</v>
      </c>
      <c r="O33" s="101">
        <f t="shared" si="16"/>
        <v>1.7318541328894237</v>
      </c>
      <c r="P33" s="101">
        <f t="shared" si="16"/>
        <v>2.3091388438525646</v>
      </c>
      <c r="Q33" s="101">
        <f t="shared" si="16"/>
        <v>1.9792618661593413</v>
      </c>
      <c r="R33" s="101">
        <f t="shared" si="16"/>
        <v>2.0759499458280448</v>
      </c>
      <c r="S33" s="101">
        <f t="shared" si="16"/>
        <v>1.8296664925542752</v>
      </c>
      <c r="T33" s="18"/>
      <c r="U33" s="12"/>
      <c r="V33" s="60"/>
      <c r="W33" s="60"/>
      <c r="X33" s="61"/>
    </row>
    <row r="34" spans="1:24" s="3" customFormat="1" x14ac:dyDescent="0.2">
      <c r="A34" s="9"/>
      <c r="B34" s="29" t="s">
        <v>95</v>
      </c>
      <c r="C34" s="101">
        <f>C33*$W$15/($W$29*1000)</f>
        <v>0.22801386699894063</v>
      </c>
      <c r="D34" s="101">
        <f t="shared" ref="D34:S34" si="17">D33*$W$15/($W$29*1000)</f>
        <v>0.27389053092965832</v>
      </c>
      <c r="E34" s="101">
        <f t="shared" si="17"/>
        <v>0.15272374170316821</v>
      </c>
      <c r="F34" s="101">
        <f t="shared" si="17"/>
        <v>0.23109513547189925</v>
      </c>
      <c r="G34" s="101">
        <f t="shared" si="17"/>
        <v>0.20448418047816541</v>
      </c>
      <c r="H34" s="101">
        <f t="shared" si="17"/>
        <v>0.16229657300767839</v>
      </c>
      <c r="I34" s="101">
        <f t="shared" si="17"/>
        <v>0.16823725862354266</v>
      </c>
      <c r="J34" s="101">
        <f t="shared" si="17"/>
        <v>0.16453973645599229</v>
      </c>
      <c r="K34" s="101">
        <f t="shared" si="17"/>
        <v>0.18703299630859047</v>
      </c>
      <c r="L34" s="101">
        <f t="shared" si="17"/>
        <v>0.17871357143160213</v>
      </c>
      <c r="M34" s="101">
        <f t="shared" si="17"/>
        <v>0.13414790790807812</v>
      </c>
      <c r="N34" s="101">
        <f t="shared" si="17"/>
        <v>0.20541789819724374</v>
      </c>
      <c r="O34" s="101">
        <f t="shared" si="17"/>
        <v>0.16176659483032949</v>
      </c>
      <c r="P34" s="101">
        <f t="shared" si="17"/>
        <v>0.21568879310710598</v>
      </c>
      <c r="Q34" s="101">
        <f t="shared" si="17"/>
        <v>0.18487610837751942</v>
      </c>
      <c r="R34" s="101">
        <f t="shared" si="17"/>
        <v>0.19390741252239824</v>
      </c>
      <c r="S34" s="101">
        <f t="shared" si="17"/>
        <v>0.17090291413968367</v>
      </c>
      <c r="T34" s="18"/>
      <c r="U34" s="12"/>
      <c r="V34" s="60"/>
      <c r="W34" s="60"/>
      <c r="X34" s="61"/>
    </row>
    <row r="35" spans="1:24" s="3" customFormat="1" ht="13.5" thickBot="1" x14ac:dyDescent="0.25">
      <c r="A35" s="64"/>
      <c r="B35" s="31" t="s">
        <v>91</v>
      </c>
      <c r="C35" s="105">
        <f>C34/3</f>
        <v>7.6004622332980207E-2</v>
      </c>
      <c r="D35" s="105">
        <f t="shared" ref="D35:S35" si="18">D34/3</f>
        <v>9.1296843643219439E-2</v>
      </c>
      <c r="E35" s="105">
        <f t="shared" si="18"/>
        <v>5.0907913901056069E-2</v>
      </c>
      <c r="F35" s="105">
        <f t="shared" si="18"/>
        <v>7.7031711823966412E-2</v>
      </c>
      <c r="G35" s="105">
        <f t="shared" si="18"/>
        <v>6.8161393492721808E-2</v>
      </c>
      <c r="H35" s="105">
        <f t="shared" si="18"/>
        <v>5.4098857669226126E-2</v>
      </c>
      <c r="I35" s="105">
        <f t="shared" si="18"/>
        <v>5.6079086207847552E-2</v>
      </c>
      <c r="J35" s="105">
        <f t="shared" si="18"/>
        <v>5.4846578818664095E-2</v>
      </c>
      <c r="K35" s="105">
        <f t="shared" si="18"/>
        <v>6.2344332102863491E-2</v>
      </c>
      <c r="L35" s="105">
        <f t="shared" si="18"/>
        <v>5.9571190477200713E-2</v>
      </c>
      <c r="M35" s="105">
        <f t="shared" si="18"/>
        <v>4.4715969302692705E-2</v>
      </c>
      <c r="N35" s="105">
        <f t="shared" si="18"/>
        <v>6.8472632732414579E-2</v>
      </c>
      <c r="O35" s="105">
        <f t="shared" si="18"/>
        <v>5.3922198276776495E-2</v>
      </c>
      <c r="P35" s="105">
        <f t="shared" si="18"/>
        <v>7.1896264369035331E-2</v>
      </c>
      <c r="Q35" s="105">
        <f t="shared" si="18"/>
        <v>6.1625369459173136E-2</v>
      </c>
      <c r="R35" s="105">
        <f t="shared" si="18"/>
        <v>6.4635804174132741E-2</v>
      </c>
      <c r="S35" s="105">
        <f t="shared" si="18"/>
        <v>5.6967638046561221E-2</v>
      </c>
      <c r="T35" s="18"/>
      <c r="U35" s="12"/>
      <c r="V35" s="60"/>
      <c r="W35" s="60"/>
      <c r="X35" s="61"/>
    </row>
    <row r="36" spans="1:24" s="3" customFormat="1" x14ac:dyDescent="0.2">
      <c r="A36" s="9"/>
      <c r="B36" s="10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11"/>
      <c r="Q36" s="9"/>
      <c r="R36" s="9"/>
      <c r="S36" s="9"/>
      <c r="T36" s="18"/>
      <c r="U36" s="12"/>
      <c r="V36" s="60"/>
      <c r="W36" s="60"/>
      <c r="X36" s="61"/>
    </row>
    <row r="37" spans="1:24" s="3" customFormat="1" x14ac:dyDescent="0.2">
      <c r="A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24"/>
      <c r="U37" s="12"/>
      <c r="V37" s="12"/>
      <c r="W37" s="12"/>
      <c r="X37" s="9"/>
    </row>
    <row r="38" spans="1:24" s="3" customFormat="1" x14ac:dyDescent="0.2">
      <c r="A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11"/>
      <c r="Q38" s="9"/>
      <c r="R38" s="9"/>
      <c r="S38" s="9"/>
      <c r="T38" s="24"/>
      <c r="U38" s="12"/>
      <c r="V38" s="12"/>
      <c r="W38" s="12"/>
      <c r="X38" s="9"/>
    </row>
    <row r="39" spans="1:24" s="3" customFormat="1" x14ac:dyDescent="0.2">
      <c r="A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24"/>
      <c r="U39" s="12"/>
      <c r="V39" s="12"/>
      <c r="W39" s="12"/>
      <c r="X39" s="9"/>
    </row>
    <row r="40" spans="1:24" s="3" customFormat="1" x14ac:dyDescent="0.2"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2"/>
      <c r="Q40" s="1"/>
      <c r="R40" s="1"/>
      <c r="S40" s="1"/>
      <c r="T40" s="15"/>
      <c r="U40" s="12"/>
      <c r="V40" s="12"/>
      <c r="W40" s="12"/>
      <c r="X40" s="9"/>
    </row>
    <row r="41" spans="1:24" s="3" customFormat="1" x14ac:dyDescent="0.2">
      <c r="B41" s="8"/>
      <c r="G41" s="1"/>
      <c r="H41" s="1"/>
      <c r="I41" s="1"/>
      <c r="J41" s="1"/>
      <c r="K41" s="1"/>
      <c r="L41" s="1"/>
      <c r="M41" s="1"/>
      <c r="N41" s="1"/>
      <c r="O41" s="1"/>
      <c r="P41" s="2"/>
      <c r="Q41" s="1"/>
      <c r="R41" s="1"/>
      <c r="S41" s="1"/>
      <c r="T41" s="15"/>
      <c r="U41" s="12"/>
      <c r="V41" s="12"/>
      <c r="W41" s="12"/>
      <c r="X41" s="9"/>
    </row>
    <row r="42" spans="1:24" s="3" customFormat="1" x14ac:dyDescent="0.2">
      <c r="B42" s="8"/>
      <c r="G42" s="1"/>
      <c r="H42" s="1"/>
      <c r="I42" s="1"/>
      <c r="J42" s="1"/>
      <c r="K42" s="1"/>
      <c r="L42" s="1"/>
      <c r="M42" s="1"/>
      <c r="N42" s="1"/>
      <c r="O42" s="1"/>
      <c r="P42" s="2"/>
      <c r="Q42" s="1"/>
      <c r="R42" s="1"/>
      <c r="S42" s="1"/>
      <c r="T42" s="4"/>
    </row>
    <row r="43" spans="1:24" s="3" customFormat="1" x14ac:dyDescent="0.2">
      <c r="B43" s="8"/>
      <c r="G43" s="1"/>
      <c r="H43" s="1"/>
      <c r="I43" s="1"/>
      <c r="J43" s="1"/>
      <c r="K43" s="1"/>
      <c r="L43" s="1"/>
      <c r="M43" s="1"/>
      <c r="N43" s="1"/>
      <c r="O43" s="1"/>
      <c r="P43" s="2"/>
      <c r="Q43" s="1"/>
      <c r="R43" s="1"/>
      <c r="S43" s="1"/>
      <c r="T43" s="4"/>
    </row>
    <row r="44" spans="1:24" s="3" customFormat="1" x14ac:dyDescent="0.2">
      <c r="B44" s="8"/>
      <c r="G44" s="1"/>
      <c r="H44" s="1"/>
      <c r="I44" s="1"/>
      <c r="J44" s="1"/>
      <c r="K44" s="1"/>
      <c r="L44" s="1"/>
      <c r="M44" s="1"/>
      <c r="N44" s="1"/>
      <c r="O44" s="1"/>
      <c r="P44" s="2"/>
      <c r="Q44" s="1"/>
      <c r="R44" s="1"/>
      <c r="S44" s="1"/>
      <c r="T44" s="4"/>
    </row>
    <row r="45" spans="1:24" s="3" customFormat="1" x14ac:dyDescent="0.2">
      <c r="B45" s="8"/>
      <c r="G45" s="1"/>
      <c r="H45" s="1"/>
      <c r="I45" s="1"/>
      <c r="J45" s="1"/>
      <c r="K45" s="1"/>
      <c r="L45" s="1"/>
      <c r="M45" s="1"/>
      <c r="N45" s="1"/>
      <c r="O45" s="1"/>
      <c r="P45" s="2"/>
      <c r="Q45" s="1"/>
      <c r="R45" s="1"/>
      <c r="S45" s="1"/>
      <c r="T45" s="5"/>
    </row>
    <row r="46" spans="1:24" s="3" customFormat="1" x14ac:dyDescent="0.2">
      <c r="B46" s="8"/>
      <c r="G46" s="1"/>
      <c r="H46" s="1"/>
      <c r="I46" s="1"/>
      <c r="J46" s="1"/>
      <c r="K46" s="1"/>
      <c r="L46" s="1"/>
      <c r="M46" s="1"/>
      <c r="N46" s="1"/>
      <c r="O46" s="1"/>
      <c r="P46" s="2"/>
      <c r="Q46" s="1"/>
      <c r="R46" s="1"/>
      <c r="S46" s="1"/>
      <c r="T46" s="6"/>
    </row>
    <row r="47" spans="1:24" s="3" customFormat="1" x14ac:dyDescent="0.2">
      <c r="B47" s="8"/>
      <c r="G47" s="1"/>
      <c r="H47" s="1"/>
      <c r="I47" s="1"/>
      <c r="J47" s="1"/>
      <c r="K47" s="1"/>
      <c r="L47" s="1"/>
      <c r="M47" s="1"/>
      <c r="N47" s="1"/>
      <c r="O47" s="1"/>
      <c r="P47" s="2"/>
      <c r="Q47" s="1"/>
      <c r="R47" s="1"/>
      <c r="S47" s="1"/>
      <c r="T47" s="5"/>
    </row>
    <row r="48" spans="1:24" s="3" customFormat="1" x14ac:dyDescent="0.2">
      <c r="B48" s="8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2"/>
      <c r="Q48" s="1"/>
      <c r="R48" s="1"/>
      <c r="S48" s="1"/>
      <c r="T48" s="7"/>
    </row>
    <row r="49" spans="1:23" s="3" customFormat="1" x14ac:dyDescent="0.2">
      <c r="B49" s="8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2"/>
      <c r="Q49" s="1"/>
      <c r="R49" s="1"/>
      <c r="S49" s="1"/>
      <c r="T49" s="5"/>
    </row>
    <row r="50" spans="1:23" s="3" customFormat="1" x14ac:dyDescent="0.2">
      <c r="B50" s="8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2"/>
      <c r="Q50" s="1"/>
      <c r="R50" s="1"/>
      <c r="S50" s="1"/>
      <c r="T50" s="5"/>
    </row>
    <row r="51" spans="1:23" s="3" customFormat="1" x14ac:dyDescent="0.2">
      <c r="B51" s="8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2"/>
      <c r="Q51" s="1"/>
      <c r="R51" s="1"/>
      <c r="S51" s="1"/>
      <c r="T51" s="5"/>
    </row>
    <row r="52" spans="1:23" s="3" customFormat="1" x14ac:dyDescent="0.2">
      <c r="B52" s="8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2"/>
      <c r="Q52" s="1"/>
      <c r="R52" s="1"/>
      <c r="S52" s="1"/>
      <c r="T52" s="6"/>
    </row>
    <row r="53" spans="1:23" s="3" customFormat="1" x14ac:dyDescent="0.2">
      <c r="A53" s="1"/>
      <c r="B53" s="8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2"/>
      <c r="Q53" s="1"/>
      <c r="R53" s="1"/>
      <c r="S53" s="1"/>
      <c r="T53" s="6"/>
    </row>
    <row r="54" spans="1:23" s="3" customFormat="1" x14ac:dyDescent="0.2">
      <c r="A54" s="1"/>
      <c r="B54" s="8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2"/>
      <c r="Q54" s="1"/>
      <c r="R54" s="1"/>
      <c r="S54" s="1"/>
      <c r="T54" s="6"/>
    </row>
    <row r="55" spans="1:23" s="3" customFormat="1" x14ac:dyDescent="0.2">
      <c r="A55" s="1"/>
      <c r="B55" s="8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2"/>
      <c r="Q55" s="1"/>
      <c r="R55" s="1"/>
      <c r="S55" s="1"/>
      <c r="T55" s="6"/>
    </row>
    <row r="56" spans="1:23" s="3" customFormat="1" x14ac:dyDescent="0.2">
      <c r="A56" s="1"/>
      <c r="B56" s="8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2"/>
      <c r="Q56" s="1"/>
      <c r="R56" s="1"/>
      <c r="S56" s="1"/>
      <c r="T56" s="5"/>
    </row>
    <row r="57" spans="1:23" s="3" customFormat="1" x14ac:dyDescent="0.2">
      <c r="A57" s="1"/>
      <c r="B57" s="8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2"/>
      <c r="Q57" s="1"/>
      <c r="R57" s="1"/>
      <c r="S57" s="1"/>
      <c r="T57" s="4"/>
    </row>
    <row r="58" spans="1:23" s="3" customFormat="1" x14ac:dyDescent="0.2">
      <c r="A58" s="1"/>
      <c r="B58" s="8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2"/>
      <c r="Q58" s="1"/>
      <c r="R58" s="1"/>
      <c r="S58" s="1"/>
      <c r="T58" s="4"/>
    </row>
    <row r="59" spans="1:23" s="3" customFormat="1" x14ac:dyDescent="0.2">
      <c r="A59" s="1"/>
      <c r="B59" s="8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2"/>
      <c r="Q59" s="1"/>
      <c r="R59" s="1"/>
      <c r="S59" s="1"/>
      <c r="T59" s="4"/>
    </row>
    <row r="60" spans="1:23" s="3" customFormat="1" x14ac:dyDescent="0.2">
      <c r="A60" s="1"/>
      <c r="B60" s="8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2"/>
      <c r="Q60" s="1"/>
      <c r="R60" s="1"/>
      <c r="S60" s="1"/>
      <c r="T60" s="4"/>
    </row>
    <row r="61" spans="1:23" x14ac:dyDescent="0.2">
      <c r="V61" s="3"/>
      <c r="W61" s="3"/>
    </row>
    <row r="62" spans="1:23" x14ac:dyDescent="0.2">
      <c r="V62" s="3"/>
      <c r="W62" s="3"/>
    </row>
    <row r="63" spans="1:23" x14ac:dyDescent="0.2">
      <c r="V63" s="3"/>
      <c r="W63" s="3"/>
    </row>
    <row r="64" spans="1:23" x14ac:dyDescent="0.2">
      <c r="V64" s="3"/>
      <c r="W64" s="3"/>
    </row>
    <row r="65" spans="22:23" x14ac:dyDescent="0.2">
      <c r="V65" s="3"/>
      <c r="W65" s="3"/>
    </row>
    <row r="66" spans="22:23" x14ac:dyDescent="0.2">
      <c r="V66" s="3"/>
      <c r="W66" s="3"/>
    </row>
    <row r="67" spans="22:23" x14ac:dyDescent="0.2">
      <c r="V67" s="3"/>
      <c r="W67" s="3"/>
    </row>
    <row r="68" spans="22:23" x14ac:dyDescent="0.2">
      <c r="V68" s="3"/>
      <c r="W68" s="3"/>
    </row>
    <row r="69" spans="22:23" x14ac:dyDescent="0.2">
      <c r="V69" s="3"/>
      <c r="W69" s="3"/>
    </row>
    <row r="70" spans="22:23" x14ac:dyDescent="0.2">
      <c r="V70" s="3"/>
      <c r="W70" s="3"/>
    </row>
    <row r="71" spans="22:23" x14ac:dyDescent="0.2">
      <c r="V71" s="3"/>
      <c r="W71" s="3"/>
    </row>
  </sheetData>
  <sheetProtection algorithmName="SHA-512" hashValue="IqWUqsiRlD55n4CioYxaNz9p8b+EoS6fBu9en9vwRht/MWjhXrwKbt6AVmb+dxZdgndztd/jmR7uCFMRi5LfIw==" saltValue="AByQNY/ti+n/5B7yTkT/AA==" spinCount="100000" sheet="1" objects="1" scenarios="1"/>
  <mergeCells count="13">
    <mergeCell ref="X28:X32"/>
    <mergeCell ref="F4:G4"/>
    <mergeCell ref="F5:G5"/>
    <mergeCell ref="F6:G6"/>
    <mergeCell ref="B8:S8"/>
    <mergeCell ref="X12:X27"/>
    <mergeCell ref="V11:X11"/>
    <mergeCell ref="B1:C1"/>
    <mergeCell ref="F1:H1"/>
    <mergeCell ref="F2:G2"/>
    <mergeCell ref="K2:L2"/>
    <mergeCell ref="F3:G3"/>
    <mergeCell ref="K3:L3"/>
  </mergeCells>
  <conditionalFormatting sqref="T49 T46">
    <cfRule type="cellIs" dxfId="5" priority="7" stopIfTrue="1" operator="greaterThan">
      <formula>10</formula>
    </cfRule>
  </conditionalFormatting>
  <conditionalFormatting sqref="T52:T56 C28:O28">
    <cfRule type="cellIs" dxfId="4" priority="8" stopIfTrue="1" operator="greaterThan">
      <formula>0.1</formula>
    </cfRule>
  </conditionalFormatting>
  <pageMargins left="0.7" right="0.7" top="0.75" bottom="0.75" header="0.3" footer="0.3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"/>
  <sheetViews>
    <sheetView workbookViewId="0">
      <selection activeCell="E13" sqref="E13"/>
    </sheetView>
  </sheetViews>
  <sheetFormatPr defaultRowHeight="12.75" x14ac:dyDescent="0.2"/>
  <cols>
    <col min="1" max="1" width="19" style="71" customWidth="1"/>
    <col min="2" max="2" width="30.5703125" customWidth="1"/>
    <col min="5" max="5" width="18.28515625" customWidth="1"/>
    <col min="6" max="6" width="22.28515625" customWidth="1"/>
    <col min="7" max="7" width="10.28515625" customWidth="1"/>
    <col min="8" max="8" width="13.28515625" customWidth="1"/>
    <col min="9" max="9" width="17.42578125" customWidth="1"/>
    <col min="10" max="10" width="10.42578125" customWidth="1"/>
  </cols>
  <sheetData>
    <row r="1" spans="1:12" x14ac:dyDescent="0.2">
      <c r="A1" s="70"/>
      <c r="B1" s="135" t="s">
        <v>43</v>
      </c>
      <c r="C1" s="135"/>
      <c r="D1" s="135"/>
      <c r="E1" s="135"/>
      <c r="F1" s="135"/>
      <c r="G1" s="135"/>
      <c r="H1" s="135"/>
      <c r="I1" s="135"/>
      <c r="J1" s="135"/>
      <c r="K1" s="65"/>
      <c r="L1" s="65"/>
    </row>
    <row r="2" spans="1:12" x14ac:dyDescent="0.2">
      <c r="A2" s="70"/>
      <c r="B2" s="135"/>
      <c r="C2" s="135"/>
      <c r="D2" s="135"/>
      <c r="E2" s="135"/>
      <c r="F2" s="135"/>
      <c r="G2" s="135"/>
      <c r="H2" s="135"/>
      <c r="I2" s="135"/>
      <c r="J2" s="135"/>
      <c r="K2" s="65"/>
      <c r="L2" s="65"/>
    </row>
    <row r="3" spans="1:12" x14ac:dyDescent="0.2">
      <c r="A3" s="70"/>
      <c r="B3" s="12"/>
      <c r="C3" s="12"/>
      <c r="D3" s="12"/>
      <c r="E3" s="12"/>
      <c r="F3" s="12"/>
      <c r="G3" s="12"/>
      <c r="H3" s="12"/>
      <c r="I3" s="12"/>
      <c r="J3" s="12"/>
      <c r="K3" s="65"/>
      <c r="L3" s="65"/>
    </row>
    <row r="4" spans="1:12" ht="18.75" x14ac:dyDescent="0.3">
      <c r="A4" s="70"/>
      <c r="B4" s="67" t="s">
        <v>30</v>
      </c>
      <c r="C4" s="66"/>
      <c r="D4" s="12"/>
      <c r="E4" s="12"/>
      <c r="F4" s="136" t="s">
        <v>31</v>
      </c>
      <c r="G4" s="136"/>
      <c r="H4" s="136"/>
      <c r="I4" s="136"/>
      <c r="J4" s="136"/>
      <c r="K4" s="65"/>
      <c r="L4" s="65"/>
    </row>
    <row r="5" spans="1:12" x14ac:dyDescent="0.2">
      <c r="A5" s="70"/>
      <c r="B5" s="73" t="s">
        <v>19</v>
      </c>
      <c r="C5" s="116">
        <v>150</v>
      </c>
      <c r="D5" s="12"/>
      <c r="E5" s="12"/>
      <c r="F5" s="78"/>
      <c r="G5" s="79" t="s">
        <v>34</v>
      </c>
      <c r="H5" s="79" t="s">
        <v>35</v>
      </c>
      <c r="I5" s="79" t="s">
        <v>37</v>
      </c>
      <c r="J5" s="79" t="s">
        <v>36</v>
      </c>
      <c r="K5" s="65"/>
      <c r="L5" s="65"/>
    </row>
    <row r="6" spans="1:12" x14ac:dyDescent="0.2">
      <c r="A6" s="70"/>
      <c r="B6" s="74" t="s">
        <v>38</v>
      </c>
      <c r="C6" s="36">
        <v>15.1</v>
      </c>
      <c r="D6" s="12"/>
      <c r="E6" s="12"/>
      <c r="F6" s="73" t="s">
        <v>19</v>
      </c>
      <c r="G6" s="116">
        <v>150</v>
      </c>
      <c r="H6" s="116">
        <v>150</v>
      </c>
      <c r="I6" s="116">
        <v>150</v>
      </c>
      <c r="J6" s="116">
        <v>150</v>
      </c>
      <c r="K6" s="65"/>
      <c r="L6" s="65"/>
    </row>
    <row r="7" spans="1:12" ht="15.75" x14ac:dyDescent="0.25">
      <c r="A7" s="70"/>
      <c r="B7" s="74" t="s">
        <v>97</v>
      </c>
      <c r="C7" s="36">
        <v>0.01</v>
      </c>
      <c r="D7" s="12"/>
      <c r="E7" s="12"/>
      <c r="F7" s="82" t="s">
        <v>39</v>
      </c>
      <c r="G7" s="82">
        <v>0.01</v>
      </c>
      <c r="H7" s="82">
        <v>0.02</v>
      </c>
      <c r="I7" s="82">
        <v>0.01</v>
      </c>
      <c r="J7" s="82">
        <v>0.01</v>
      </c>
      <c r="K7" s="65"/>
      <c r="L7" s="65"/>
    </row>
    <row r="8" spans="1:12" ht="14.25" x14ac:dyDescent="0.25">
      <c r="A8" s="70"/>
      <c r="B8" s="74" t="s">
        <v>98</v>
      </c>
      <c r="C8" s="36">
        <v>365</v>
      </c>
      <c r="D8" s="12"/>
      <c r="E8" s="12"/>
      <c r="F8" s="82" t="s">
        <v>32</v>
      </c>
      <c r="G8" s="82">
        <v>865</v>
      </c>
      <c r="H8" s="82">
        <v>1400</v>
      </c>
      <c r="I8" s="82">
        <v>400</v>
      </c>
      <c r="J8" s="82">
        <v>720</v>
      </c>
      <c r="K8" s="65"/>
      <c r="L8" s="65"/>
    </row>
    <row r="9" spans="1:12" ht="15.75" x14ac:dyDescent="0.25">
      <c r="A9" s="70"/>
      <c r="B9" s="74" t="s">
        <v>99</v>
      </c>
      <c r="C9" s="36">
        <v>2500</v>
      </c>
      <c r="D9" s="12"/>
      <c r="E9" s="69" t="s">
        <v>51</v>
      </c>
      <c r="F9" s="82" t="s">
        <v>33</v>
      </c>
      <c r="G9" s="82">
        <v>10</v>
      </c>
      <c r="H9" s="82">
        <v>10</v>
      </c>
      <c r="I9" s="82">
        <v>10</v>
      </c>
      <c r="J9" s="82">
        <v>10</v>
      </c>
      <c r="K9" s="65"/>
      <c r="L9" s="65"/>
    </row>
    <row r="10" spans="1:12" ht="29.25" customHeight="1" x14ac:dyDescent="0.25">
      <c r="A10" s="70"/>
      <c r="B10" s="74" t="s">
        <v>100</v>
      </c>
      <c r="C10" s="36">
        <v>0.05</v>
      </c>
      <c r="D10" s="62"/>
      <c r="E10" s="77" t="s">
        <v>96</v>
      </c>
      <c r="F10" s="80" t="s">
        <v>105</v>
      </c>
      <c r="G10" s="81">
        <f>G6*G7/(G8*$G$9)*1000</f>
        <v>0.17341040462427745</v>
      </c>
      <c r="H10" s="81">
        <f>H6*H7/(H8*$H$9)*1000</f>
        <v>0.21428571428571427</v>
      </c>
      <c r="I10" s="81">
        <f>I6*I7/(I8*$I$9)*1000</f>
        <v>0.375</v>
      </c>
      <c r="J10" s="81">
        <f>J6*J7/(J8*$J$9)*1000</f>
        <v>0.20833333333333334</v>
      </c>
      <c r="K10" s="65"/>
      <c r="L10" s="65"/>
    </row>
    <row r="11" spans="1:12" ht="15.75" x14ac:dyDescent="0.25">
      <c r="A11" s="70"/>
      <c r="B11" s="74" t="s">
        <v>101</v>
      </c>
      <c r="C11" s="36">
        <v>0.2</v>
      </c>
      <c r="D11" s="12"/>
      <c r="E11" s="12"/>
      <c r="F11" s="12"/>
      <c r="G11" s="12"/>
      <c r="H11" s="12"/>
      <c r="I11" s="12"/>
      <c r="J11" s="12"/>
      <c r="K11" s="65"/>
      <c r="L11" s="65"/>
    </row>
    <row r="12" spans="1:12" ht="15.75" x14ac:dyDescent="0.25">
      <c r="A12" s="68" t="s">
        <v>51</v>
      </c>
      <c r="B12" s="74" t="s">
        <v>102</v>
      </c>
      <c r="C12" s="36">
        <f>C5*C6</f>
        <v>2265</v>
      </c>
      <c r="D12" s="12"/>
      <c r="E12" s="12"/>
      <c r="F12" s="12"/>
      <c r="G12" s="12"/>
      <c r="H12" s="12"/>
      <c r="I12" s="12"/>
      <c r="J12" s="12"/>
      <c r="K12" s="65"/>
      <c r="L12" s="65"/>
    </row>
    <row r="13" spans="1:12" ht="27.75" customHeight="1" x14ac:dyDescent="0.2">
      <c r="A13" s="72" t="s">
        <v>103</v>
      </c>
      <c r="B13" s="75" t="s">
        <v>104</v>
      </c>
      <c r="C13" s="76">
        <f>C12*C7*C8/(C9*C11*C10)*1000</f>
        <v>330690</v>
      </c>
      <c r="D13" s="12"/>
      <c r="E13" s="12"/>
      <c r="F13" s="12"/>
      <c r="G13" s="12"/>
      <c r="H13" s="12"/>
      <c r="I13" s="12"/>
      <c r="J13" s="12"/>
      <c r="K13" s="65"/>
      <c r="L13" s="65"/>
    </row>
    <row r="14" spans="1:12" x14ac:dyDescent="0.2">
      <c r="A14" s="70"/>
      <c r="B14" s="65"/>
      <c r="C14" s="65"/>
      <c r="D14" s="12"/>
      <c r="E14" s="12"/>
      <c r="F14" s="12"/>
      <c r="G14" s="12"/>
      <c r="H14" s="12"/>
      <c r="I14" s="12"/>
      <c r="J14" s="12"/>
      <c r="K14" s="65"/>
      <c r="L14" s="65"/>
    </row>
    <row r="15" spans="1:12" x14ac:dyDescent="0.2">
      <c r="A15" s="70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</row>
    <row r="16" spans="1:12" x14ac:dyDescent="0.2">
      <c r="A16" s="70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x14ac:dyDescent="0.2">
      <c r="A17" s="70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</row>
  </sheetData>
  <sheetProtection algorithmName="SHA-512" hashValue="UzA276R+FdnXMKih6foiLYwzLFZHCNIOqHVc9xYzXprhreRTOYe4tb2g6uDw6AQXiJGgY9PThxs9rDkP3EAROw==" saltValue="DQ5zzVLntz5FcCYYXMtWbw==" spinCount="100000" sheet="1" objects="1" scenarios="1"/>
  <mergeCells count="2">
    <mergeCell ref="B1:J2"/>
    <mergeCell ref="F4:J4"/>
  </mergeCells>
  <conditionalFormatting sqref="C13">
    <cfRule type="cellIs" dxfId="3" priority="1" operator="lessThan">
      <formula>10</formula>
    </cfRule>
    <cfRule type="cellIs" dxfId="2" priority="2" operator="greaterThanOrEqual">
      <formula>10</formula>
    </cfRule>
  </conditionalFormatting>
  <conditionalFormatting sqref="G10:J10">
    <cfRule type="cellIs" dxfId="1" priority="3" operator="lessThan">
      <formula>0.1</formula>
    </cfRule>
    <cfRule type="cellIs" dxfId="0" priority="4" operator="greaterThanOrEqual">
      <formula>0.1</formula>
    </cfRule>
  </conditionalFormatting>
  <pageMargins left="0.7" right="0.7" top="0.75" bottom="0.75" header="0.3" footer="0.3"/>
  <pageSetup paperSize="9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06CDB3D452B1488C70B4264B6B03CB" ma:contentTypeVersion="13" ma:contentTypeDescription="Een nieuw document maken." ma:contentTypeScope="" ma:versionID="0b03a801807c30c61948d4d6458a10c7">
  <xsd:schema xmlns:xsd="http://www.w3.org/2001/XMLSchema" xmlns:xs="http://www.w3.org/2001/XMLSchema" xmlns:p="http://schemas.microsoft.com/office/2006/metadata/properties" xmlns:ns3="84f9b8c2-d871-4c44-b558-4f69a7c3d957" xmlns:ns4="4e6a8660-f661-4ff7-b696-446ef42415b9" targetNamespace="http://schemas.microsoft.com/office/2006/metadata/properties" ma:root="true" ma:fieldsID="c97e3e43a2b68690ea5cd81f37847f84" ns3:_="" ns4:_="">
    <xsd:import namespace="84f9b8c2-d871-4c44-b558-4f69a7c3d957"/>
    <xsd:import namespace="4e6a8660-f661-4ff7-b696-446ef42415b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f9b8c2-d871-4c44-b558-4f69a7c3d9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6a8660-f661-4ff7-b696-446ef42415b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F7D0CB-FD0E-4617-838F-AF5FC00F7B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459EEC-8D2B-47CD-B3D9-8095337AAA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f9b8c2-d871-4c44-b558-4f69a7c3d957"/>
    <ds:schemaRef ds:uri="4e6a8660-f661-4ff7-b696-446ef42415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0B06F1-3290-45E1-B17E-97F1800B567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84f9b8c2-d871-4c44-b558-4f69a7c3d957"/>
    <ds:schemaRef ds:uri="http://schemas.microsoft.com/office/infopath/2007/PartnerControls"/>
    <ds:schemaRef ds:uri="http://purl.org/dc/elements/1.1/"/>
    <ds:schemaRef ds:uri="http://schemas.microsoft.com/office/2006/metadata/properties"/>
    <ds:schemaRef ds:uri="4e6a8660-f661-4ff7-b696-446ef42415b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ERA Terrestrial -Phase I</vt:lpstr>
      <vt:lpstr>ERA Terrestrial -Phase II</vt:lpstr>
      <vt:lpstr>ERA Aquaculture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van Beelen</dc:creator>
  <cp:lastModifiedBy>PULLINEN Maija</cp:lastModifiedBy>
  <cp:lastPrinted>2020-02-17T08:57:04Z</cp:lastPrinted>
  <dcterms:created xsi:type="dcterms:W3CDTF">2013-10-16T11:56:15Z</dcterms:created>
  <dcterms:modified xsi:type="dcterms:W3CDTF">2020-04-30T12:54:53Z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0x010100A706CDB3D452B1488C70B4264B6B03CB</vt:lpwstr>
  </property>
</Properties>
</file>